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nceiraConsignado\FGTS SAQUE ANIVERSÁRIO\"/>
    </mc:Choice>
  </mc:AlternateContent>
  <xr:revisionPtr revIDLastSave="0" documentId="8_{38E9F5CA-B1F5-4521-8BF3-72ABC056E68D}" xr6:coauthVersionLast="47" xr6:coauthVersionMax="47" xr10:uidLastSave="{00000000-0000-0000-0000-000000000000}"/>
  <bookViews>
    <workbookView xWindow="-120" yWindow="-120" windowWidth="29040" windowHeight="15840" tabRatio="768" xr2:uid="{AF694E50-B469-468A-BB35-DC388D69352B}"/>
  </bookViews>
  <sheets>
    <sheet name="FGTS - entrada de dados" sheetId="8" r:id="rId1"/>
    <sheet name="simulador pelo Saldo" sheetId="7" state="hidden" r:id="rId2"/>
    <sheet name="Planilha1" sheetId="9" state="hidden" r:id="rId3"/>
    <sheet name="simulador pela 1ª parc" sheetId="3" state="hidden" r:id="rId4"/>
    <sheet name="quadro CCB" sheetId="2" state="hidden" r:id="rId5"/>
    <sheet name="Simulador pelo troco nao usar" sheetId="6" state="hidden" r:id="rId6"/>
    <sheet name="racional de + de 1 operação" sheetId="4" state="hidden" r:id="rId7"/>
    <sheet name="racional de + de 1 operaçã (2)" sheetId="5" state="hidden" r:id="rId8"/>
  </sheets>
  <definedNames>
    <definedName name="_Hlk63951204" localSheetId="4">'quadro CCB'!#REF!</definedName>
    <definedName name="_xlnm.Print_Area" localSheetId="3">'simulador pela 1ª parc'!$A$1:$N$24</definedName>
    <definedName name="_xlnm.Print_Area" localSheetId="1">'simulador pelo Saldo'!$A$1:$N$30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B23" i="7" l="1"/>
  <c r="E5" i="8"/>
  <c r="B4" i="7" l="1"/>
  <c r="B2" i="7"/>
  <c r="C8" i="7" l="1"/>
  <c r="B8" i="7"/>
  <c r="C8" i="8"/>
  <c r="B1" i="7" l="1"/>
  <c r="A8" i="7" s="1"/>
  <c r="J18" i="3"/>
  <c r="H19" i="3"/>
  <c r="C8" i="3"/>
  <c r="E37" i="8" l="1"/>
  <c r="E23" i="8" s="1"/>
  <c r="L13" i="8"/>
  <c r="L14" i="8"/>
  <c r="L11" i="8"/>
  <c r="K12" i="8"/>
  <c r="K13" i="8"/>
  <c r="K14" i="8"/>
  <c r="K15" i="8"/>
  <c r="K16" i="8"/>
  <c r="K17" i="8"/>
  <c r="K18" i="8"/>
  <c r="K11" i="8"/>
  <c r="F21" i="8"/>
  <c r="D8" i="7" l="1"/>
  <c r="E8" i="7" s="1"/>
  <c r="E11" i="8"/>
  <c r="C133" i="7"/>
  <c r="F133" i="7" s="1"/>
  <c r="Q42" i="7"/>
  <c r="C23" i="7"/>
  <c r="C40" i="7" l="1"/>
  <c r="G40" i="7"/>
  <c r="B9" i="7"/>
  <c r="B10" i="7" s="1"/>
  <c r="E13" i="8" s="1"/>
  <c r="I8" i="7"/>
  <c r="F11" i="8"/>
  <c r="G41" i="7"/>
  <c r="F8" i="7"/>
  <c r="G8" i="7" s="1"/>
  <c r="C41" i="7"/>
  <c r="D133" i="7"/>
  <c r="E133" i="7" s="1"/>
  <c r="H133" i="7"/>
  <c r="C134" i="7" s="1"/>
  <c r="G133" i="7"/>
  <c r="G8" i="3"/>
  <c r="G11" i="8" l="1"/>
  <c r="E12" i="8"/>
  <c r="A9" i="7"/>
  <c r="A10" i="7" s="1"/>
  <c r="B11" i="7"/>
  <c r="E14" i="8" s="1"/>
  <c r="H134" i="7"/>
  <c r="C135" i="7" s="1"/>
  <c r="D134" i="7"/>
  <c r="E134" i="7" s="1"/>
  <c r="G134" i="7"/>
  <c r="F134" i="7"/>
  <c r="J8" i="7" l="1"/>
  <c r="K8" i="7" s="1"/>
  <c r="D41" i="7"/>
  <c r="H8" i="7"/>
  <c r="C9" i="7" s="1"/>
  <c r="F9" i="7" s="1"/>
  <c r="H41" i="7"/>
  <c r="G42" i="7"/>
  <c r="C42" i="7"/>
  <c r="F12" i="8"/>
  <c r="I9" i="7"/>
  <c r="B12" i="7"/>
  <c r="I10" i="7"/>
  <c r="F13" i="8"/>
  <c r="G43" i="7"/>
  <c r="C43" i="7"/>
  <c r="A11" i="7"/>
  <c r="F135" i="7"/>
  <c r="G135" i="7"/>
  <c r="H135" i="7"/>
  <c r="C136" i="7" s="1"/>
  <c r="D135" i="7"/>
  <c r="E135" i="7" s="1"/>
  <c r="A8" i="3"/>
  <c r="D9" i="7" l="1"/>
  <c r="E9" i="7" s="1"/>
  <c r="G9" i="7" s="1"/>
  <c r="H42" i="7" s="1"/>
  <c r="L8" i="7"/>
  <c r="M8" i="7" s="1"/>
  <c r="H11" i="8" s="1"/>
  <c r="E15" i="8"/>
  <c r="B13" i="7"/>
  <c r="E16" i="8" s="1"/>
  <c r="I11" i="7"/>
  <c r="F14" i="8"/>
  <c r="G44" i="7"/>
  <c r="A12" i="7"/>
  <c r="C44" i="7"/>
  <c r="H136" i="7"/>
  <c r="C137" i="7" s="1"/>
  <c r="D136" i="7"/>
  <c r="E136" i="7" s="1"/>
  <c r="G136" i="7"/>
  <c r="F136" i="7"/>
  <c r="P35" i="3"/>
  <c r="D42" i="7" l="1"/>
  <c r="N8" i="7"/>
  <c r="J9" i="7"/>
  <c r="K9" i="7" s="1"/>
  <c r="H9" i="7"/>
  <c r="C10" i="7" s="1"/>
  <c r="D10" i="7" s="1"/>
  <c r="E10" i="7" s="1"/>
  <c r="G12" i="8"/>
  <c r="B14" i="7"/>
  <c r="E17" i="8" s="1"/>
  <c r="A13" i="7"/>
  <c r="C45" i="7"/>
  <c r="F15" i="8"/>
  <c r="I12" i="7"/>
  <c r="G45" i="7"/>
  <c r="F137" i="7"/>
  <c r="G137" i="7"/>
  <c r="H137" i="7"/>
  <c r="C138" i="7" s="1"/>
  <c r="D137" i="7"/>
  <c r="E137" i="7" s="1"/>
  <c r="I11" i="8" l="1"/>
  <c r="B15" i="7"/>
  <c r="E18" i="8" s="1"/>
  <c r="L9" i="7"/>
  <c r="M9" i="7" s="1"/>
  <c r="H12" i="8" s="1"/>
  <c r="F10" i="7"/>
  <c r="G10" i="7" s="1"/>
  <c r="A14" i="7"/>
  <c r="F17" i="8" s="1"/>
  <c r="C46" i="7"/>
  <c r="F16" i="8"/>
  <c r="I13" i="7"/>
  <c r="G46" i="7"/>
  <c r="H138" i="7"/>
  <c r="D138" i="7"/>
  <c r="E138" i="7" s="1"/>
  <c r="G138" i="7"/>
  <c r="F138" i="7"/>
  <c r="B9" i="3"/>
  <c r="A7" i="6"/>
  <c r="C123" i="6"/>
  <c r="F123" i="6" s="1"/>
  <c r="G31" i="6"/>
  <c r="C31" i="6"/>
  <c r="B16" i="6"/>
  <c r="C15" i="6"/>
  <c r="C7" i="6"/>
  <c r="D7" i="6" s="1"/>
  <c r="E7" i="6" s="1"/>
  <c r="B16" i="7" l="1"/>
  <c r="E19" i="8" s="1"/>
  <c r="A15" i="7"/>
  <c r="F18" i="8" s="1"/>
  <c r="A8" i="6"/>
  <c r="N9" i="7"/>
  <c r="G13" i="8"/>
  <c r="J10" i="7"/>
  <c r="K10" i="7" s="1"/>
  <c r="H10" i="7"/>
  <c r="C11" i="7" s="1"/>
  <c r="F11" i="7" s="1"/>
  <c r="D43" i="7"/>
  <c r="H43" i="7"/>
  <c r="G47" i="7"/>
  <c r="I14" i="7"/>
  <c r="C47" i="7"/>
  <c r="B10" i="3"/>
  <c r="A9" i="3"/>
  <c r="I7" i="6"/>
  <c r="G32" i="6"/>
  <c r="G33" i="6"/>
  <c r="C32" i="6"/>
  <c r="G123" i="6"/>
  <c r="F7" i="6"/>
  <c r="D123" i="6"/>
  <c r="E123" i="6" s="1"/>
  <c r="H123" i="6"/>
  <c r="C124" i="6" s="1"/>
  <c r="O9" i="7" l="1"/>
  <c r="A16" i="7"/>
  <c r="F19" i="8" s="1"/>
  <c r="B17" i="7"/>
  <c r="E20" i="8" s="1"/>
  <c r="A9" i="6"/>
  <c r="I12" i="8"/>
  <c r="D11" i="7"/>
  <c r="E11" i="7" s="1"/>
  <c r="G11" i="7" s="1"/>
  <c r="J11" i="7" s="1"/>
  <c r="K11" i="7" s="1"/>
  <c r="L10" i="7"/>
  <c r="M10" i="7" s="1"/>
  <c r="H13" i="8" s="1"/>
  <c r="I15" i="7"/>
  <c r="G48" i="7"/>
  <c r="C48" i="7"/>
  <c r="A10" i="3"/>
  <c r="I10" i="3" s="1"/>
  <c r="I9" i="3"/>
  <c r="B11" i="3"/>
  <c r="B12" i="3" s="1"/>
  <c r="B13" i="3" s="1"/>
  <c r="I8" i="6"/>
  <c r="C33" i="6"/>
  <c r="H124" i="6"/>
  <c r="C125" i="6" s="1"/>
  <c r="D124" i="6"/>
  <c r="E124" i="6" s="1"/>
  <c r="G124" i="6"/>
  <c r="F124" i="6"/>
  <c r="G34" i="6"/>
  <c r="C34" i="6"/>
  <c r="I9" i="6"/>
  <c r="G7" i="6"/>
  <c r="H7" i="6" s="1"/>
  <c r="B5" i="5"/>
  <c r="C5" i="5"/>
  <c r="D2" i="5" s="1"/>
  <c r="D5" i="5" s="1"/>
  <c r="E2" i="5" s="1"/>
  <c r="E5" i="5" s="1"/>
  <c r="F2" i="5" s="1"/>
  <c r="F5" i="5" s="1"/>
  <c r="G2" i="5" s="1"/>
  <c r="G5" i="5" s="1"/>
  <c r="H2" i="5" s="1"/>
  <c r="H5" i="5" s="1"/>
  <c r="I2" i="5" s="1"/>
  <c r="I5" i="5" s="1"/>
  <c r="A17" i="7" l="1"/>
  <c r="C9" i="5"/>
  <c r="C10" i="5" s="1"/>
  <c r="I9" i="5"/>
  <c r="A10" i="6"/>
  <c r="N10" i="7"/>
  <c r="I16" i="7"/>
  <c r="C49" i="7"/>
  <c r="G49" i="7"/>
  <c r="H11" i="7"/>
  <c r="C12" i="7" s="1"/>
  <c r="H44" i="7"/>
  <c r="G14" i="8"/>
  <c r="D44" i="7"/>
  <c r="L11" i="7"/>
  <c r="N11" i="7" s="1"/>
  <c r="A11" i="3"/>
  <c r="I11" i="3" s="1"/>
  <c r="G35" i="6"/>
  <c r="C35" i="6"/>
  <c r="I10" i="6"/>
  <c r="H32" i="6"/>
  <c r="D32" i="6"/>
  <c r="J7" i="6"/>
  <c r="F125" i="6"/>
  <c r="H125" i="6"/>
  <c r="C126" i="6" s="1"/>
  <c r="D125" i="6"/>
  <c r="E125" i="6" s="1"/>
  <c r="G125" i="6"/>
  <c r="C11" i="5"/>
  <c r="O10" i="7" l="1"/>
  <c r="O11" i="7" s="1"/>
  <c r="G50" i="7"/>
  <c r="F20" i="8"/>
  <c r="I10" i="5"/>
  <c r="A11" i="6"/>
  <c r="I13" i="8"/>
  <c r="I17" i="7"/>
  <c r="C50" i="7"/>
  <c r="D12" i="7"/>
  <c r="E12" i="7" s="1"/>
  <c r="I14" i="8"/>
  <c r="F12" i="7"/>
  <c r="M11" i="7"/>
  <c r="H14" i="8" s="1"/>
  <c r="A12" i="3"/>
  <c r="A13" i="3" s="1"/>
  <c r="I13" i="3" s="1"/>
  <c r="B14" i="3"/>
  <c r="H126" i="6"/>
  <c r="C127" i="6" s="1"/>
  <c r="D126" i="6"/>
  <c r="E126" i="6" s="1"/>
  <c r="G126" i="6"/>
  <c r="F126" i="6"/>
  <c r="G36" i="6"/>
  <c r="C36" i="6"/>
  <c r="I11" i="6"/>
  <c r="C8" i="6"/>
  <c r="B8" i="6"/>
  <c r="L7" i="6"/>
  <c r="M7" i="6" s="1"/>
  <c r="P7" i="6" s="1"/>
  <c r="C16" i="5"/>
  <c r="I11" i="5" l="1"/>
  <c r="A12" i="6"/>
  <c r="C37" i="6" s="1"/>
  <c r="G12" i="7"/>
  <c r="J12" i="7" s="1"/>
  <c r="K12" i="7" s="1"/>
  <c r="B18" i="7"/>
  <c r="G38" i="3"/>
  <c r="C38" i="3"/>
  <c r="I12" i="3"/>
  <c r="A14" i="3"/>
  <c r="D8" i="6"/>
  <c r="E8" i="6" s="1"/>
  <c r="F8" i="6"/>
  <c r="F127" i="6"/>
  <c r="H127" i="6"/>
  <c r="C128" i="6" s="1"/>
  <c r="D127" i="6"/>
  <c r="E127" i="6" s="1"/>
  <c r="G127" i="6"/>
  <c r="B15" i="4"/>
  <c r="C2" i="4"/>
  <c r="C5" i="4" s="1"/>
  <c r="D2" i="4" s="1"/>
  <c r="D5" i="4" s="1"/>
  <c r="E2" i="4" s="1"/>
  <c r="E5" i="4" s="1"/>
  <c r="F2" i="4" s="1"/>
  <c r="F5" i="4" s="1"/>
  <c r="G2" i="4" s="1"/>
  <c r="G5" i="4" s="1"/>
  <c r="H2" i="4" s="1"/>
  <c r="H5" i="4" s="1"/>
  <c r="I12" i="5" l="1"/>
  <c r="I12" i="6"/>
  <c r="G37" i="6"/>
  <c r="H45" i="7"/>
  <c r="H12" i="7"/>
  <c r="C13" i="7" s="1"/>
  <c r="D13" i="7" s="1"/>
  <c r="E13" i="7" s="1"/>
  <c r="G15" i="8"/>
  <c r="D45" i="7"/>
  <c r="Q40" i="7"/>
  <c r="Q41" i="7"/>
  <c r="Q39" i="7"/>
  <c r="E21" i="8"/>
  <c r="L12" i="7"/>
  <c r="M12" i="7" s="1"/>
  <c r="H15" i="8" s="1"/>
  <c r="C40" i="3"/>
  <c r="P34" i="3"/>
  <c r="P33" i="3"/>
  <c r="I14" i="3"/>
  <c r="G8" i="6"/>
  <c r="H8" i="6" s="1"/>
  <c r="H128" i="6"/>
  <c r="D128" i="6"/>
  <c r="E128" i="6" s="1"/>
  <c r="G128" i="6"/>
  <c r="F128" i="6"/>
  <c r="H8" i="4"/>
  <c r="H10" i="4" s="1"/>
  <c r="H11" i="4" s="1"/>
  <c r="H9" i="4"/>
  <c r="F8" i="3"/>
  <c r="C126" i="3"/>
  <c r="G126" i="3" s="1"/>
  <c r="G40" i="3"/>
  <c r="G39" i="3"/>
  <c r="C39" i="3"/>
  <c r="G37" i="3"/>
  <c r="C37" i="3"/>
  <c r="G36" i="3"/>
  <c r="C36" i="3"/>
  <c r="G35" i="3"/>
  <c r="C35" i="3"/>
  <c r="G34" i="3"/>
  <c r="C34" i="3"/>
  <c r="G33" i="3"/>
  <c r="C33" i="3"/>
  <c r="C17" i="3"/>
  <c r="I8" i="3"/>
  <c r="I13" i="5" l="1"/>
  <c r="I14" i="5" s="1"/>
  <c r="F13" i="7"/>
  <c r="G13" i="7" s="1"/>
  <c r="H46" i="7" s="1"/>
  <c r="N12" i="7"/>
  <c r="H33" i="6"/>
  <c r="C9" i="6"/>
  <c r="J8" i="6"/>
  <c r="L8" i="6" s="1"/>
  <c r="M8" i="6" s="1"/>
  <c r="P8" i="6" s="1"/>
  <c r="D33" i="6"/>
  <c r="H12" i="4"/>
  <c r="H13" i="4" s="1"/>
  <c r="D8" i="3"/>
  <c r="F126" i="3"/>
  <c r="H126" i="3"/>
  <c r="C127" i="3" s="1"/>
  <c r="D126" i="3"/>
  <c r="E126" i="3" s="1"/>
  <c r="I16" i="5" l="1"/>
  <c r="D46" i="7"/>
  <c r="H13" i="7"/>
  <c r="C14" i="7" s="1"/>
  <c r="J13" i="7"/>
  <c r="K13" i="7" s="1"/>
  <c r="G16" i="8"/>
  <c r="I15" i="8"/>
  <c r="O12" i="7"/>
  <c r="B9" i="6"/>
  <c r="D9" i="6"/>
  <c r="E9" i="6" s="1"/>
  <c r="F9" i="6"/>
  <c r="E8" i="3"/>
  <c r="J8" i="3" s="1"/>
  <c r="K8" i="3" s="1"/>
  <c r="H15" i="4"/>
  <c r="H127" i="3"/>
  <c r="C128" i="3" s="1"/>
  <c r="D127" i="3"/>
  <c r="E127" i="3" s="1"/>
  <c r="G127" i="3"/>
  <c r="F127" i="3"/>
  <c r="L13" i="7" l="1"/>
  <c r="M13" i="7" s="1"/>
  <c r="H16" i="8" s="1"/>
  <c r="D14" i="7"/>
  <c r="E14" i="7" s="1"/>
  <c r="F14" i="7"/>
  <c r="H34" i="3"/>
  <c r="H8" i="3"/>
  <c r="C9" i="3" s="1"/>
  <c r="G9" i="6"/>
  <c r="H9" i="6" s="1"/>
  <c r="D34" i="3"/>
  <c r="F128" i="3"/>
  <c r="H128" i="3"/>
  <c r="C129" i="3" s="1"/>
  <c r="D128" i="3"/>
  <c r="E128" i="3" s="1"/>
  <c r="G128" i="3"/>
  <c r="L8" i="3"/>
  <c r="N8" i="3" s="1"/>
  <c r="N13" i="7" l="1"/>
  <c r="I16" i="8" s="1"/>
  <c r="G14" i="7"/>
  <c r="G17" i="8" s="1"/>
  <c r="H34" i="6"/>
  <c r="D34" i="6"/>
  <c r="J9" i="6"/>
  <c r="M8" i="3"/>
  <c r="H129" i="3"/>
  <c r="C130" i="3" s="1"/>
  <c r="D129" i="3"/>
  <c r="E129" i="3" s="1"/>
  <c r="G129" i="3"/>
  <c r="F129" i="3"/>
  <c r="D9" i="3"/>
  <c r="E9" i="3" s="1"/>
  <c r="F9" i="3"/>
  <c r="O13" i="7" l="1"/>
  <c r="H47" i="7"/>
  <c r="D47" i="7"/>
  <c r="J14" i="7"/>
  <c r="H14" i="7"/>
  <c r="C15" i="7" s="1"/>
  <c r="L9" i="6"/>
  <c r="C10" i="6"/>
  <c r="B10" i="6"/>
  <c r="F130" i="3"/>
  <c r="H130" i="3"/>
  <c r="C131" i="3" s="1"/>
  <c r="D130" i="3"/>
  <c r="E130" i="3" s="1"/>
  <c r="G130" i="3"/>
  <c r="G9" i="3"/>
  <c r="J9" i="3" s="1"/>
  <c r="F15" i="7" l="1"/>
  <c r="D15" i="7"/>
  <c r="E15" i="7" s="1"/>
  <c r="L14" i="7"/>
  <c r="K14" i="7"/>
  <c r="K9" i="3"/>
  <c r="L9" i="3"/>
  <c r="D10" i="6"/>
  <c r="E10" i="6" s="1"/>
  <c r="F10" i="6"/>
  <c r="M9" i="6"/>
  <c r="P9" i="6" s="1"/>
  <c r="H35" i="3"/>
  <c r="D35" i="3"/>
  <c r="H9" i="3"/>
  <c r="C10" i="3" s="1"/>
  <c r="H131" i="3"/>
  <c r="D131" i="3"/>
  <c r="E131" i="3" s="1"/>
  <c r="G131" i="3"/>
  <c r="F131" i="3"/>
  <c r="N14" i="7" l="1"/>
  <c r="I17" i="8" s="1"/>
  <c r="M14" i="7"/>
  <c r="H17" i="8" s="1"/>
  <c r="G15" i="7"/>
  <c r="G18" i="8" s="1"/>
  <c r="N9" i="3"/>
  <c r="M9" i="3"/>
  <c r="G10" i="6"/>
  <c r="D48" i="7" l="1"/>
  <c r="H48" i="7"/>
  <c r="O14" i="7"/>
  <c r="J15" i="7"/>
  <c r="H15" i="7"/>
  <c r="C16" i="7" s="1"/>
  <c r="H10" i="6"/>
  <c r="C11" i="6" s="1"/>
  <c r="D11" i="6" s="1"/>
  <c r="J10" i="6"/>
  <c r="L10" i="6" s="1"/>
  <c r="M10" i="6" s="1"/>
  <c r="P10" i="6" s="1"/>
  <c r="H35" i="6"/>
  <c r="D35" i="6"/>
  <c r="F10" i="3"/>
  <c r="D10" i="3"/>
  <c r="E10" i="3" s="1"/>
  <c r="F16" i="7" l="1"/>
  <c r="D16" i="7"/>
  <c r="E16" i="7" s="1"/>
  <c r="L15" i="7"/>
  <c r="K15" i="7"/>
  <c r="B11" i="6"/>
  <c r="G10" i="3"/>
  <c r="J10" i="3" s="1"/>
  <c r="N15" i="7" l="1"/>
  <c r="I18" i="8" s="1"/>
  <c r="M15" i="7"/>
  <c r="H18" i="8" s="1"/>
  <c r="G16" i="7"/>
  <c r="G19" i="8" s="1"/>
  <c r="L10" i="3"/>
  <c r="K10" i="3"/>
  <c r="H36" i="3"/>
  <c r="D36" i="3"/>
  <c r="H10" i="3"/>
  <c r="C11" i="3" s="1"/>
  <c r="O15" i="7" l="1"/>
  <c r="H49" i="7"/>
  <c r="D49" i="7"/>
  <c r="J16" i="7"/>
  <c r="H16" i="7"/>
  <c r="C17" i="7" s="1"/>
  <c r="M10" i="3"/>
  <c r="N10" i="3"/>
  <c r="F17" i="7" l="1"/>
  <c r="D17" i="7"/>
  <c r="E17" i="7" s="1"/>
  <c r="K16" i="7"/>
  <c r="L16" i="7"/>
  <c r="F11" i="3"/>
  <c r="D11" i="3"/>
  <c r="E11" i="3" s="1"/>
  <c r="M16" i="7" l="1"/>
  <c r="H19" i="8" s="1"/>
  <c r="N16" i="7"/>
  <c r="I19" i="8" s="1"/>
  <c r="G17" i="7"/>
  <c r="G20" i="8" s="1"/>
  <c r="G11" i="3"/>
  <c r="J11" i="3" s="1"/>
  <c r="H50" i="7" l="1"/>
  <c r="D50" i="7"/>
  <c r="O16" i="7"/>
  <c r="J17" i="7"/>
  <c r="H17" i="7"/>
  <c r="K11" i="3"/>
  <c r="L11" i="3"/>
  <c r="H37" i="3"/>
  <c r="H11" i="3"/>
  <c r="D37" i="3"/>
  <c r="K17" i="7" l="1"/>
  <c r="L17" i="7"/>
  <c r="C12" i="3"/>
  <c r="N11" i="3"/>
  <c r="M11" i="3"/>
  <c r="N17" i="7" l="1"/>
  <c r="Q15" i="7" s="1"/>
  <c r="R15" i="7" s="1"/>
  <c r="M17" i="7"/>
  <c r="H20" i="8" s="1"/>
  <c r="D12" i="3"/>
  <c r="E12" i="3" s="1"/>
  <c r="F12" i="3"/>
  <c r="I20" i="8" l="1"/>
  <c r="G12" i="3"/>
  <c r="O17" i="7"/>
  <c r="H38" i="3"/>
  <c r="D38" i="3"/>
  <c r="J12" i="3"/>
  <c r="H12" i="3"/>
  <c r="C13" i="3" s="1"/>
  <c r="F13" i="3" l="1"/>
  <c r="D13" i="3"/>
  <c r="E13" i="3" s="1"/>
  <c r="E18" i="7"/>
  <c r="L12" i="3"/>
  <c r="K12" i="3"/>
  <c r="B15" i="3"/>
  <c r="P32" i="3" s="1"/>
  <c r="G13" i="3" l="1"/>
  <c r="H13" i="3" s="1"/>
  <c r="C14" i="3" s="1"/>
  <c r="D14" i="3" s="1"/>
  <c r="E14" i="3" s="1"/>
  <c r="E15" i="3" s="1"/>
  <c r="D39" i="3"/>
  <c r="F18" i="7"/>
  <c r="M12" i="3"/>
  <c r="N12" i="3"/>
  <c r="J13" i="3" l="1"/>
  <c r="F14" i="3"/>
  <c r="F15" i="3" s="1"/>
  <c r="G14" i="3"/>
  <c r="G15" i="3" s="1"/>
  <c r="P39" i="3" s="1"/>
  <c r="H39" i="3"/>
  <c r="L13" i="3"/>
  <c r="K13" i="3"/>
  <c r="G18" i="7"/>
  <c r="J14" i="3"/>
  <c r="K14" i="3" s="1"/>
  <c r="K15" i="3" s="1"/>
  <c r="H14" i="3"/>
  <c r="H40" i="3" l="1"/>
  <c r="D40" i="3"/>
  <c r="M13" i="3"/>
  <c r="N13" i="3"/>
  <c r="G21" i="8"/>
  <c r="Q46" i="7"/>
  <c r="L18" i="7"/>
  <c r="J18" i="7"/>
  <c r="L14" i="3"/>
  <c r="L15" i="3" s="1"/>
  <c r="J15" i="3"/>
  <c r="P28" i="3" s="1"/>
  <c r="K18" i="7" l="1"/>
  <c r="N18" i="7" s="1"/>
  <c r="Q35" i="7"/>
  <c r="H40" i="7"/>
  <c r="N14" i="3"/>
  <c r="M14" i="3"/>
  <c r="M15" i="3" s="1"/>
  <c r="P29" i="3" s="1"/>
  <c r="H33" i="3"/>
  <c r="G29" i="3" s="1"/>
  <c r="G23" i="7" l="1"/>
  <c r="H23" i="7"/>
  <c r="B31" i="7" s="1"/>
  <c r="L19" i="8" s="1"/>
  <c r="K21" i="8"/>
  <c r="B42" i="8" s="1"/>
  <c r="G36" i="7"/>
  <c r="H36" i="7" s="1"/>
  <c r="B24" i="7" s="1"/>
  <c r="Q47" i="7"/>
  <c r="M18" i="7"/>
  <c r="B27" i="7"/>
  <c r="L15" i="8" s="1"/>
  <c r="B28" i="7"/>
  <c r="B21" i="3"/>
  <c r="N15" i="3"/>
  <c r="D40" i="7" l="1"/>
  <c r="C36" i="7" s="1"/>
  <c r="B29" i="7" s="1"/>
  <c r="L12" i="8"/>
  <c r="Q43" i="7"/>
  <c r="Q38" i="7"/>
  <c r="L16" i="8"/>
  <c r="Q36" i="7"/>
  <c r="H21" i="8"/>
  <c r="I21" i="8" s="1"/>
  <c r="D33" i="3"/>
  <c r="P40" i="3"/>
  <c r="H29" i="3"/>
  <c r="B18" i="3" s="1"/>
  <c r="P36" i="3" s="1"/>
  <c r="B22" i="3"/>
  <c r="P31" i="3" s="1"/>
  <c r="D36" i="7" l="1"/>
  <c r="B30" i="7" s="1"/>
  <c r="Q45" i="7" s="1"/>
  <c r="B23" i="8"/>
  <c r="B51" i="8"/>
  <c r="B16" i="8" s="1"/>
  <c r="Q44" i="7"/>
  <c r="L17" i="8"/>
  <c r="C29" i="3"/>
  <c r="B23" i="3" s="1"/>
  <c r="P37" i="3" s="1"/>
  <c r="L18" i="8" l="1"/>
  <c r="D29" i="3"/>
  <c r="B24" i="3" s="1"/>
  <c r="P38" i="3" s="1"/>
  <c r="E11" i="6"/>
  <c r="F11" i="6"/>
  <c r="G11" i="6" l="1"/>
  <c r="H11" i="6" s="1"/>
  <c r="H36" i="6" l="1"/>
  <c r="J11" i="6"/>
  <c r="D36" i="6"/>
  <c r="L11" i="6" l="1"/>
  <c r="M11" i="6" s="1"/>
  <c r="P11" i="6" s="1"/>
  <c r="B12" i="6"/>
  <c r="B13" i="6" s="1"/>
  <c r="C12" i="6"/>
  <c r="E12" i="6" l="1"/>
  <c r="E13" i="6" s="1"/>
  <c r="F12" i="6"/>
  <c r="F13" i="6" s="1"/>
  <c r="G12" i="6" l="1"/>
  <c r="H12" i="6" s="1"/>
  <c r="G13" i="6" l="1"/>
  <c r="J12" i="6"/>
  <c r="L12" i="6" s="1"/>
  <c r="L13" i="6" s="1"/>
  <c r="D37" i="6"/>
  <c r="H37" i="6"/>
  <c r="J13" i="6" l="1"/>
  <c r="K13" i="6" s="1"/>
  <c r="M13" i="6" s="1"/>
  <c r="M12" i="6"/>
  <c r="P12" i="6" s="1"/>
  <c r="P13" i="6" s="1"/>
  <c r="H31" i="6" l="1"/>
  <c r="G27" i="6" s="1"/>
  <c r="H27" i="6" s="1"/>
  <c r="N12" i="6"/>
  <c r="N8" i="6"/>
  <c r="N7" i="6"/>
  <c r="D31" i="6"/>
  <c r="C27" i="6" s="1"/>
  <c r="N9" i="6"/>
  <c r="N10" i="6"/>
  <c r="N11" i="6"/>
  <c r="B19" i="6"/>
  <c r="J15" i="6"/>
  <c r="B20" i="6"/>
  <c r="L15" i="6"/>
  <c r="B21" i="6" l="1"/>
  <c r="D27" i="6"/>
  <c r="B22" i="6" s="1"/>
</calcChain>
</file>

<file path=xl/sharedStrings.xml><?xml version="1.0" encoding="utf-8"?>
<sst xmlns="http://schemas.openxmlformats.org/spreadsheetml/2006/main" count="296" uniqueCount="162">
  <si>
    <t xml:space="preserve">R$ </t>
  </si>
  <si>
    <t>Parcela adicional</t>
  </si>
  <si>
    <t>total saque aniversário</t>
  </si>
  <si>
    <t>saldo final</t>
  </si>
  <si>
    <t>prazo</t>
  </si>
  <si>
    <t>liquido ao cliente</t>
  </si>
  <si>
    <t>iof adicional</t>
  </si>
  <si>
    <t>iof diário</t>
  </si>
  <si>
    <t>Saldo de FGTS</t>
  </si>
  <si>
    <t>Alíquota de Saque aniversário</t>
  </si>
  <si>
    <t>Data contratação</t>
  </si>
  <si>
    <t>VP</t>
  </si>
  <si>
    <t>Aniversários
(vcto)</t>
  </si>
  <si>
    <t>IOF ADICIONAL</t>
  </si>
  <si>
    <t>IOF DIÁRIO</t>
  </si>
  <si>
    <t>IOF TOTAL</t>
  </si>
  <si>
    <t>JUROS</t>
  </si>
  <si>
    <t>DEMONSTRATIVO DE CÁLCULO ELABORADO NOS TERMOS DA RESOLUÇÃO CMN nº4.881/20, E QUE CONSIDERA OS DADOS ACIMA, REFLETINDO O CÁLCULO DO CUSTO EFETIVO TOTAL (CET) DESTA CCB.</t>
  </si>
  <si>
    <t>A</t>
  </si>
  <si>
    <t>VALORES NEGOCIADOS</t>
  </si>
  <si>
    <t>A.1</t>
  </si>
  <si>
    <t>Valor solicitado pelo consumidor</t>
  </si>
  <si>
    <t>A.2</t>
  </si>
  <si>
    <t>Valor refinanciado dos contratos que o consumidor possui na instituição</t>
  </si>
  <si>
    <t>A.3</t>
  </si>
  <si>
    <t>Valor de portabilidade de contratos de outras instituições</t>
  </si>
  <si>
    <t>A.4</t>
  </si>
  <si>
    <t>B</t>
  </si>
  <si>
    <t>DESPESAS VINCULADAS À CONCESSÃO DE CRÉDITO</t>
  </si>
  <si>
    <t>B.1</t>
  </si>
  <si>
    <t>TRIBUTOS</t>
  </si>
  <si>
    <t>B.1.1</t>
  </si>
  <si>
    <t>B.1.2</t>
  </si>
  <si>
    <t>-</t>
  </si>
  <si>
    <t>B.1.3</t>
  </si>
  <si>
    <t>B.1.4</t>
  </si>
  <si>
    <t>B.2</t>
  </si>
  <si>
    <t>TARIFAS</t>
  </si>
  <si>
    <t>B.3</t>
  </si>
  <si>
    <t>SEGURO</t>
  </si>
  <si>
    <t>B.4</t>
  </si>
  <si>
    <t>OUTROS</t>
  </si>
  <si>
    <t>C</t>
  </si>
  <si>
    <t>SOMATÓRIO DAS PARCELAS</t>
  </si>
  <si>
    <t>D</t>
  </si>
  <si>
    <t>DADOS DO FINANCIAMENTO</t>
  </si>
  <si>
    <t>D.1</t>
  </si>
  <si>
    <t>Valor Total do Crédito Negociado</t>
  </si>
  <si>
    <t>D.2</t>
  </si>
  <si>
    <t>D.3</t>
  </si>
  <si>
    <t>D.4</t>
  </si>
  <si>
    <t>D.5</t>
  </si>
  <si>
    <t>IOF (financiado)</t>
  </si>
  <si>
    <t>D.6</t>
  </si>
  <si>
    <t>Tarifas (financiado)</t>
  </si>
  <si>
    <t>D.7</t>
  </si>
  <si>
    <t>Seguro (financiado)</t>
  </si>
  <si>
    <t>D.8</t>
  </si>
  <si>
    <t>Outros (financiado)</t>
  </si>
  <si>
    <t>D.9</t>
  </si>
  <si>
    <t>VALOR TOTAL FINANCIADO DEVIDO NO ATO DA CONTRATAÇÃO</t>
  </si>
  <si>
    <t>CET</t>
  </si>
  <si>
    <t>a.m</t>
  </si>
  <si>
    <t>a.a</t>
  </si>
  <si>
    <t>TAXA</t>
  </si>
  <si>
    <t>Grantia 1º aniversário</t>
  </si>
  <si>
    <t>Inicial FGTS</t>
  </si>
  <si>
    <t>depósitos Mensais de FGTS</t>
  </si>
  <si>
    <t>Saldo FGTS</t>
  </si>
  <si>
    <t>Antecipação aniversário mar/2022</t>
  </si>
  <si>
    <t>Antecipação aniversário mar/2023</t>
  </si>
  <si>
    <t>Antecipação aniversário mar/2024</t>
  </si>
  <si>
    <t>Antecipação aniversário mar/2025</t>
  </si>
  <si>
    <t>Antecipação aniversário mar/2026</t>
  </si>
  <si>
    <t>Antecipação aniversário mar/2027</t>
  </si>
  <si>
    <t>total antecipado</t>
  </si>
  <si>
    <t>saldo de FGTS * aliquota + parcela adicional - valor já antecipado para o aniversário</t>
  </si>
  <si>
    <t>(saldo de FGTS - valores já antecipados até o aniversário) * aliquota + parcela adicional - valor já antecipado para o aniversário</t>
  </si>
  <si>
    <t>antecipação 1</t>
  </si>
  <si>
    <t>antecipação 2</t>
  </si>
  <si>
    <t/>
  </si>
  <si>
    <t>total saque aniversário
(Garantia ou Parcela)</t>
  </si>
  <si>
    <t>saldo final FGTS</t>
  </si>
  <si>
    <t>CET a.m</t>
  </si>
  <si>
    <t>CET a.a</t>
  </si>
  <si>
    <t>TAXA a.m</t>
  </si>
  <si>
    <t>TAXA a.a</t>
  </si>
  <si>
    <t>IOF Total</t>
  </si>
  <si>
    <t xml:space="preserve"> % (A.1/D.9)</t>
  </si>
  <si>
    <t xml:space="preserve"> % (A.2/D.9)</t>
  </si>
  <si>
    <t xml:space="preserve">  % (A.3/D.9)</t>
  </si>
  <si>
    <t xml:space="preserve">  % (A.4/D.9)</t>
  </si>
  <si>
    <t xml:space="preserve">  % (B/D.19)</t>
  </si>
  <si>
    <t xml:space="preserve">    % (B.1/D.9)</t>
  </si>
  <si>
    <t xml:space="preserve">         % (B.1.1/D.9)</t>
  </si>
  <si>
    <t>IOF – financiado: (   ) sim   (   ) não</t>
  </si>
  <si>
    <t>Alíquota: %</t>
  </si>
  <si>
    <t>IOF – Alíquota adicional (decreto 6.339/08) financiado (   ) sim (   ) não</t>
  </si>
  <si>
    <t>% (única)</t>
  </si>
  <si>
    <r>
      <t xml:space="preserve">IOF </t>
    </r>
    <r>
      <rPr>
        <sz val="11"/>
        <color rgb="FF000066"/>
        <rFont val="Arial Narrow"/>
        <family val="2"/>
      </rPr>
      <t xml:space="preserve"> </t>
    </r>
  </si>
  <si>
    <t xml:space="preserve">R$  </t>
  </si>
  <si>
    <t xml:space="preserve">         % (B.1.4/D.9)</t>
  </si>
  <si>
    <t>R$</t>
  </si>
  <si>
    <t xml:space="preserve">      % (B.2/D.9)</t>
  </si>
  <si>
    <t xml:space="preserve">       % (B.3/D.9)</t>
  </si>
  <si>
    <r>
      <t xml:space="preserve">        %</t>
    </r>
    <r>
      <rPr>
        <sz val="11"/>
        <color rgb="FF000066"/>
        <rFont val="Arial Narrow"/>
        <family val="2"/>
      </rPr>
      <t xml:space="preserve"> </t>
    </r>
    <r>
      <rPr>
        <b/>
        <sz val="11"/>
        <color rgb="FF000066"/>
        <rFont val="Arial Narrow"/>
        <family val="2"/>
      </rPr>
      <t>(B.4/D.9)</t>
    </r>
  </si>
  <si>
    <r>
      <t>1,00</t>
    </r>
    <r>
      <rPr>
        <sz val="11"/>
        <color rgb="FF000066"/>
        <rFont val="Arial Narrow"/>
        <family val="2"/>
      </rPr>
      <t xml:space="preserve"> % a.m</t>
    </r>
  </si>
  <si>
    <r>
      <t xml:space="preserve">12,68 </t>
    </r>
    <r>
      <rPr>
        <sz val="11"/>
        <color rgb="FF000066"/>
        <rFont val="Arial Narrow"/>
        <family val="2"/>
      </rPr>
      <t>% a.a</t>
    </r>
  </si>
  <si>
    <t>%</t>
  </si>
  <si>
    <t>L</t>
  </si>
  <si>
    <t>K</t>
  </si>
  <si>
    <t>F</t>
  </si>
  <si>
    <t>E</t>
  </si>
  <si>
    <t>I</t>
  </si>
  <si>
    <t>ITEM DO PREAMBULO</t>
  </si>
  <si>
    <t>l) Valor líquido liberado:</t>
  </si>
  <si>
    <t>f) Vencimento Inicial:</t>
  </si>
  <si>
    <t>e) Nº de Parcelas:</t>
  </si>
  <si>
    <t>i)Taxa de juros prefixada</t>
  </si>
  <si>
    <t>b) IOF:</t>
  </si>
  <si>
    <t>k) Valor total a pagar [principal e juros]:</t>
  </si>
  <si>
    <t>a) Valor Principal do Crédito:</t>
  </si>
  <si>
    <r>
      <t>Valor total do crédito negociado</t>
    </r>
    <r>
      <rPr>
        <sz val="11"/>
        <color rgb="FF000066"/>
        <rFont val="Calibri"/>
        <family val="2"/>
      </rPr>
      <t/>
    </r>
  </si>
  <si>
    <t>Valor total a ser financiado sem impostos</t>
  </si>
  <si>
    <t>Data do 1º vencimento</t>
  </si>
  <si>
    <t>Número de parcelas</t>
  </si>
  <si>
    <r>
      <t>Taxa de juros Prefixada mensal (30 dias) e anual (360 dias)</t>
    </r>
    <r>
      <rPr>
        <b/>
        <sz val="11"/>
        <color rgb="FF000066"/>
        <rFont val="Arial Narrow"/>
        <family val="2"/>
      </rPr>
      <t/>
    </r>
  </si>
  <si>
    <t>O valor utilizado no financiamento imobiliário é deduzido da base de calculo</t>
  </si>
  <si>
    <t>Utilizado p/ Financimanto Imobiliário</t>
  </si>
  <si>
    <t>total antecipado/Garantias</t>
  </si>
  <si>
    <t>data nascimento</t>
  </si>
  <si>
    <t>Qt. parcelas</t>
  </si>
  <si>
    <t>Taxa a.m</t>
  </si>
  <si>
    <t>Taxa a.a</t>
  </si>
  <si>
    <t>c) Tarifa de Cadastro:</t>
  </si>
  <si>
    <t xml:space="preserve">d) Juros:                   </t>
  </si>
  <si>
    <t>g) Vencimento Final:</t>
  </si>
  <si>
    <t>j) Custo Efetivo Total:</t>
  </si>
  <si>
    <t>i)Taxa de juros:</t>
  </si>
  <si>
    <t>Data da Simulação</t>
  </si>
  <si>
    <t>INCLUSÃO DE DADOS</t>
  </si>
  <si>
    <t>Qt. Parcelas</t>
  </si>
  <si>
    <t>Vencimentos</t>
  </si>
  <si>
    <t>Valor da Parcela
(saque aniversário)</t>
  </si>
  <si>
    <t>Total IOF</t>
  </si>
  <si>
    <t>Valor Líquido Cliente</t>
  </si>
  <si>
    <t>TAXAS E CET</t>
  </si>
  <si>
    <t>Data Nascimento</t>
  </si>
  <si>
    <t>cliente</t>
  </si>
  <si>
    <t>comissão</t>
  </si>
  <si>
    <t>Prazo máximo</t>
  </si>
  <si>
    <t>Saldo mínimo</t>
  </si>
  <si>
    <t>Cliente</t>
  </si>
  <si>
    <t>Comissão</t>
  </si>
  <si>
    <t>Colaborador Daycoval</t>
  </si>
  <si>
    <t>SIM</t>
  </si>
  <si>
    <t>NÃO</t>
  </si>
  <si>
    <t>COLABORADOR DAYCOVAL</t>
  </si>
  <si>
    <t>SIMULAÇÃO COM TAXA EXCLUSIVA PARA COLABORADOR DAYCOVAL</t>
  </si>
  <si>
    <t>TAC</t>
  </si>
  <si>
    <t>Recomendação:</t>
  </si>
  <si>
    <t>Versão 008/Pricing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</si>
</sst>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%"/>
    <numFmt numFmtId="165" formatCode="0.00000%"/>
    <numFmt numFmtId="166" formatCode="&quot;R$&quot;\ #,##0.00"/>
    <numFmt numFmtId="167" formatCode="&quot;R$&quot;\ 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66"/>
      <name val="Arial Narrow"/>
      <family val="2"/>
    </font>
    <font>
      <sz val="11"/>
      <color rgb="FF000066"/>
      <name val="Arial Narrow"/>
      <family val="2"/>
    </font>
    <font>
      <b/>
      <sz val="11"/>
      <color theme="1"/>
      <name val="Arial Narrow"/>
      <family val="2"/>
    </font>
    <font>
      <sz val="11"/>
      <color rgb="FF000066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66"/>
      <name val="Arial Narrow"/>
      <family val="2"/>
    </font>
    <font>
      <sz val="12"/>
      <color theme="1"/>
      <name val="Times New Roman"/>
      <family val="1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43" fontId="0" fillId="0" borderId="0" xfId="1" applyFont="1"/>
    <xf numFmtId="9" fontId="0" fillId="0" borderId="0" xfId="0" applyNumberFormat="1"/>
    <xf numFmtId="43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0" fontId="0" fillId="0" borderId="0" xfId="2" applyNumberFormat="1" applyFont="1"/>
    <xf numFmtId="9" fontId="0" fillId="0" borderId="0" xfId="2" applyFont="1"/>
    <xf numFmtId="43" fontId="0" fillId="0" borderId="0" xfId="1" applyFont="1" applyAlignment="1">
      <alignment horizontal="center" vertical="center" wrapText="1"/>
    </xf>
    <xf numFmtId="0" fontId="3" fillId="0" borderId="0" xfId="0" applyFont="1"/>
    <xf numFmtId="17" fontId="8" fillId="0" borderId="6" xfId="0" applyNumberFormat="1" applyFont="1" applyBorder="1" applyAlignment="1">
      <alignment horizontal="right" vertical="center"/>
    </xf>
    <xf numFmtId="17" fontId="8" fillId="0" borderId="3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8" fontId="9" fillId="0" borderId="4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8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8" fontId="9" fillId="0" borderId="3" xfId="0" applyNumberFormat="1" applyFont="1" applyBorder="1" applyAlignment="1">
      <alignment vertical="center"/>
    </xf>
    <xf numFmtId="8" fontId="9" fillId="0" borderId="4" xfId="0" applyNumberFormat="1" applyFont="1" applyBorder="1" applyAlignment="1">
      <alignment vertical="center"/>
    </xf>
    <xf numFmtId="8" fontId="8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quotePrefix="1"/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2" fillId="4" borderId="8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14" fontId="0" fillId="0" borderId="8" xfId="0" applyNumberFormat="1" applyBorder="1"/>
    <xf numFmtId="0" fontId="0" fillId="0" borderId="8" xfId="0" applyBorder="1"/>
    <xf numFmtId="43" fontId="0" fillId="0" borderId="8" xfId="1" applyFont="1" applyBorder="1"/>
    <xf numFmtId="9" fontId="0" fillId="0" borderId="8" xfId="0" applyNumberFormat="1" applyBorder="1"/>
    <xf numFmtId="43" fontId="0" fillId="0" borderId="8" xfId="0" applyNumberFormat="1" applyBorder="1"/>
    <xf numFmtId="0" fontId="2" fillId="5" borderId="8" xfId="0" applyFont="1" applyFill="1" applyBorder="1"/>
    <xf numFmtId="43" fontId="2" fillId="5" borderId="8" xfId="1" applyFont="1" applyFill="1" applyBorder="1"/>
    <xf numFmtId="9" fontId="2" fillId="5" borderId="8" xfId="0" applyNumberFormat="1" applyFont="1" applyFill="1" applyBorder="1"/>
    <xf numFmtId="43" fontId="2" fillId="5" borderId="8" xfId="0" applyNumberFormat="1" applyFont="1" applyFill="1" applyBorder="1"/>
    <xf numFmtId="10" fontId="0" fillId="0" borderId="8" xfId="0" applyNumberFormat="1" applyBorder="1"/>
    <xf numFmtId="10" fontId="0" fillId="0" borderId="8" xfId="2" applyNumberFormat="1" applyFont="1" applyBorder="1"/>
    <xf numFmtId="164" fontId="0" fillId="0" borderId="8" xfId="0" applyNumberFormat="1" applyBorder="1"/>
    <xf numFmtId="43" fontId="0" fillId="0" borderId="0" xfId="1" applyFont="1" applyFill="1"/>
    <xf numFmtId="43" fontId="2" fillId="0" borderId="0" xfId="1" applyFont="1" applyFill="1" applyAlignment="1">
      <alignment horizontal="center" vertical="center" wrapText="1"/>
    </xf>
    <xf numFmtId="43" fontId="2" fillId="0" borderId="0" xfId="1" applyFont="1" applyFill="1"/>
    <xf numFmtId="43" fontId="0" fillId="0" borderId="0" xfId="1" applyFont="1" applyFill="1" applyAlignment="1">
      <alignment horizontal="center" vertical="center" wrapText="1"/>
    </xf>
    <xf numFmtId="43" fontId="2" fillId="0" borderId="0" xfId="0" applyNumberFormat="1" applyFont="1"/>
    <xf numFmtId="14" fontId="0" fillId="0" borderId="8" xfId="1" applyNumberFormat="1" applyFont="1" applyBorder="1"/>
    <xf numFmtId="0" fontId="0" fillId="0" borderId="8" xfId="0" applyBorder="1" applyAlignment="1">
      <alignment horizontal="center" vertical="center" wrapText="1"/>
    </xf>
    <xf numFmtId="43" fontId="0" fillId="0" borderId="8" xfId="1" applyFont="1" applyBorder="1" applyAlignment="1">
      <alignment horizontal="center" vertical="center" wrapText="1"/>
    </xf>
    <xf numFmtId="164" fontId="0" fillId="0" borderId="8" xfId="2" applyNumberFormat="1" applyFont="1" applyBorder="1" applyAlignment="1">
      <alignment horizontal="center" vertical="center" wrapText="1"/>
    </xf>
    <xf numFmtId="4" fontId="0" fillId="2" borderId="8" xfId="0" applyNumberFormat="1" applyFill="1" applyBorder="1"/>
    <xf numFmtId="10" fontId="0" fillId="0" borderId="8" xfId="2" applyNumberFormat="1" applyFont="1" applyBorder="1" applyAlignment="1">
      <alignment horizontal="center" vertical="center" wrapText="1"/>
    </xf>
    <xf numFmtId="43" fontId="0" fillId="2" borderId="8" xfId="1" applyFont="1" applyFill="1" applyBorder="1"/>
    <xf numFmtId="14" fontId="0" fillId="2" borderId="8" xfId="0" applyNumberFormat="1" applyFill="1" applyBorder="1"/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8" fontId="5" fillId="0" borderId="4" xfId="0" applyNumberFormat="1" applyFont="1" applyBorder="1" applyAlignment="1">
      <alignment vertical="center" wrapText="1"/>
    </xf>
    <xf numFmtId="8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17" fontId="12" fillId="0" borderId="8" xfId="0" applyNumberFormat="1" applyFont="1" applyBorder="1" applyAlignment="1">
      <alignment horizontal="right" vertical="center"/>
    </xf>
    <xf numFmtId="0" fontId="13" fillId="0" borderId="0" xfId="0" applyFont="1"/>
    <xf numFmtId="0" fontId="14" fillId="0" borderId="8" xfId="0" applyFont="1" applyBorder="1" applyAlignment="1">
      <alignment vertical="center"/>
    </xf>
    <xf numFmtId="8" fontId="14" fillId="0" borderId="8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2" borderId="8" xfId="0" applyFont="1" applyFill="1" applyBorder="1" applyAlignment="1">
      <alignment vertical="center"/>
    </xf>
    <xf numFmtId="44" fontId="14" fillId="2" borderId="8" xfId="0" applyNumberFormat="1" applyFont="1" applyFill="1" applyBorder="1" applyAlignment="1">
      <alignment vertical="center"/>
    </xf>
    <xf numFmtId="8" fontId="14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8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14" fontId="0" fillId="0" borderId="0" xfId="0" applyNumberFormat="1" applyAlignment="1">
      <alignment horizontal="right"/>
    </xf>
    <xf numFmtId="4" fontId="0" fillId="0" borderId="0" xfId="0" applyNumberFormat="1"/>
    <xf numFmtId="43" fontId="0" fillId="0" borderId="8" xfId="1" applyFont="1" applyFill="1" applyBorder="1"/>
    <xf numFmtId="0" fontId="0" fillId="2" borderId="8" xfId="0" applyFill="1" applyBorder="1"/>
    <xf numFmtId="0" fontId="15" fillId="0" borderId="0" xfId="0" applyFont="1"/>
    <xf numFmtId="1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8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4" fontId="15" fillId="0" borderId="0" xfId="0" applyNumberFormat="1" applyFont="1"/>
    <xf numFmtId="0" fontId="15" fillId="0" borderId="0" xfId="0" applyFont="1" applyAlignment="1">
      <alignment vertical="top" wrapText="1"/>
    </xf>
    <xf numFmtId="0" fontId="15" fillId="0" borderId="8" xfId="0" applyFont="1" applyBorder="1" applyAlignment="1">
      <alignment vertical="center" wrapText="1"/>
    </xf>
    <xf numFmtId="7" fontId="15" fillId="0" borderId="8" xfId="0" applyNumberFormat="1" applyFont="1" applyBorder="1" applyAlignment="1">
      <alignment vertical="center" wrapText="1"/>
    </xf>
    <xf numFmtId="7" fontId="15" fillId="0" borderId="8" xfId="0" applyNumberFormat="1" applyFont="1" applyBorder="1"/>
    <xf numFmtId="0" fontId="15" fillId="0" borderId="8" xfId="0" applyFont="1" applyBorder="1"/>
    <xf numFmtId="14" fontId="15" fillId="0" borderId="8" xfId="0" applyNumberFormat="1" applyFont="1" applyBorder="1" applyAlignment="1">
      <alignment vertical="center" wrapText="1"/>
    </xf>
    <xf numFmtId="14" fontId="16" fillId="0" borderId="8" xfId="0" applyNumberFormat="1" applyFont="1" applyBorder="1" applyAlignment="1">
      <alignment vertical="center" wrapText="1"/>
    </xf>
    <xf numFmtId="10" fontId="15" fillId="0" borderId="8" xfId="0" applyNumberFormat="1" applyFont="1" applyBorder="1" applyAlignment="1">
      <alignment vertical="top" wrapText="1"/>
    </xf>
    <xf numFmtId="10" fontId="15" fillId="0" borderId="8" xfId="0" applyNumberFormat="1" applyFont="1" applyBorder="1"/>
    <xf numFmtId="165" fontId="0" fillId="0" borderId="8" xfId="0" applyNumberFormat="1" applyBorder="1"/>
    <xf numFmtId="14" fontId="2" fillId="9" borderId="9" xfId="0" applyNumberFormat="1" applyFont="1" applyFill="1" applyBorder="1" applyAlignment="1" applyProtection="1">
      <alignment horizontal="center" vertical="center"/>
      <protection locked="0"/>
    </xf>
    <xf numFmtId="4" fontId="2" fillId="9" borderId="9" xfId="0" applyNumberFormat="1" applyFont="1" applyFill="1" applyBorder="1" applyAlignment="1" applyProtection="1">
      <alignment horizontal="center" vertical="center"/>
      <protection locked="0"/>
    </xf>
    <xf numFmtId="0" fontId="2" fillId="9" borderId="9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14" fontId="17" fillId="7" borderId="9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0" fontId="0" fillId="0" borderId="9" xfId="0" applyNumberFormat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166" fontId="0" fillId="0" borderId="9" xfId="0" applyNumberFormat="1" applyBorder="1" applyAlignment="1">
      <alignment horizontal="right" vertical="center"/>
    </xf>
    <xf numFmtId="166" fontId="17" fillId="7" borderId="9" xfId="0" applyNumberFormat="1" applyFont="1" applyFill="1" applyBorder="1" applyAlignment="1">
      <alignment horizontal="center" vertical="center" wrapText="1"/>
    </xf>
    <xf numFmtId="166" fontId="2" fillId="8" borderId="9" xfId="0" applyNumberFormat="1" applyFont="1" applyFill="1" applyBorder="1" applyAlignment="1">
      <alignment horizontal="center" vertical="center" wrapText="1"/>
    </xf>
    <xf numFmtId="166" fontId="2" fillId="2" borderId="9" xfId="0" applyNumberFormat="1" applyFont="1" applyFill="1" applyBorder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/>
    </xf>
    <xf numFmtId="43" fontId="0" fillId="6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10" xfId="0" applyNumberFormat="1" applyBorder="1"/>
    <xf numFmtId="0" fontId="0" fillId="0" borderId="10" xfId="0" applyBorder="1"/>
    <xf numFmtId="43" fontId="0" fillId="0" borderId="10" xfId="1" applyFont="1" applyBorder="1"/>
    <xf numFmtId="9" fontId="0" fillId="0" borderId="10" xfId="0" applyNumberFormat="1" applyBorder="1"/>
    <xf numFmtId="43" fontId="0" fillId="0" borderId="10" xfId="0" applyNumberFormat="1" applyBorder="1"/>
    <xf numFmtId="0" fontId="2" fillId="5" borderId="11" xfId="0" applyFont="1" applyFill="1" applyBorder="1"/>
    <xf numFmtId="43" fontId="2" fillId="5" borderId="11" xfId="1" applyFont="1" applyFill="1" applyBorder="1"/>
    <xf numFmtId="9" fontId="2" fillId="5" borderId="11" xfId="0" applyNumberFormat="1" applyFont="1" applyFill="1" applyBorder="1"/>
    <xf numFmtId="43" fontId="2" fillId="5" borderId="11" xfId="0" applyNumberFormat="1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0" fontId="0" fillId="2" borderId="8" xfId="0" applyNumberFormat="1" applyFill="1" applyBorder="1"/>
    <xf numFmtId="0" fontId="2" fillId="0" borderId="0" xfId="0" applyFont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43" fontId="2" fillId="0" borderId="0" xfId="1" applyFont="1" applyFill="1" applyBorder="1"/>
    <xf numFmtId="9" fontId="2" fillId="0" borderId="0" xfId="0" applyNumberFormat="1" applyFont="1"/>
    <xf numFmtId="10" fontId="0" fillId="0" borderId="11" xfId="0" applyNumberFormat="1" applyBorder="1"/>
    <xf numFmtId="43" fontId="0" fillId="0" borderId="0" xfId="1" applyFont="1" applyBorder="1"/>
    <xf numFmtId="43" fontId="0" fillId="0" borderId="0" xfId="1" applyFont="1" applyFill="1" applyBorder="1"/>
    <xf numFmtId="0" fontId="15" fillId="2" borderId="0" xfId="0" applyFont="1" applyFill="1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167" fontId="17" fillId="11" borderId="8" xfId="0" applyNumberFormat="1" applyFont="1" applyFill="1" applyBorder="1" applyAlignment="1">
      <alignment horizontal="center"/>
    </xf>
    <xf numFmtId="166" fontId="17" fillId="11" borderId="8" xfId="0" applyNumberFormat="1" applyFont="1" applyFill="1" applyBorder="1" applyAlignment="1">
      <alignment horizontal="center"/>
    </xf>
    <xf numFmtId="167" fontId="2" fillId="3" borderId="8" xfId="0" applyNumberFormat="1" applyFont="1" applyFill="1" applyBorder="1" applyAlignment="1">
      <alignment horizontal="center"/>
    </xf>
    <xf numFmtId="166" fontId="0" fillId="10" borderId="8" xfId="0" applyNumberFormat="1" applyFill="1" applyBorder="1" applyAlignment="1">
      <alignment horizontal="center"/>
    </xf>
    <xf numFmtId="0" fontId="0" fillId="0" borderId="20" xfId="0" applyBorder="1"/>
    <xf numFmtId="0" fontId="19" fillId="6" borderId="0" xfId="0" applyFont="1" applyFill="1" applyAlignment="1">
      <alignment horizontal="center" vertical="center"/>
    </xf>
    <xf numFmtId="43" fontId="0" fillId="0" borderId="9" xfId="1" applyFont="1" applyBorder="1" applyAlignment="1">
      <alignment horizontal="right" vertical="center"/>
    </xf>
    <xf numFmtId="166" fontId="0" fillId="6" borderId="0" xfId="0" applyNumberFormat="1" applyFill="1" applyAlignment="1">
      <alignment horizontal="center" vertical="center"/>
    </xf>
    <xf numFmtId="43" fontId="20" fillId="0" borderId="0" xfId="0" applyNumberFormat="1" applyFont="1"/>
    <xf numFmtId="43" fontId="21" fillId="6" borderId="0" xfId="0" applyNumberFormat="1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2" fillId="9" borderId="14" xfId="0" applyNumberFormat="1" applyFont="1" applyFill="1" applyBorder="1" applyAlignment="1">
      <alignment horizontal="center" vertical="center" wrapText="1"/>
    </xf>
    <xf numFmtId="166" fontId="2" fillId="9" borderId="15" xfId="0" applyNumberFormat="1" applyFont="1" applyFill="1" applyBorder="1" applyAlignment="1">
      <alignment horizontal="center" vertical="center" wrapText="1"/>
    </xf>
    <xf numFmtId="166" fontId="2" fillId="9" borderId="16" xfId="0" applyNumberFormat="1" applyFont="1" applyFill="1" applyBorder="1" applyAlignment="1">
      <alignment horizontal="center" vertical="center" wrapText="1"/>
    </xf>
    <xf numFmtId="166" fontId="2" fillId="9" borderId="17" xfId="0" applyNumberFormat="1" applyFont="1" applyFill="1" applyBorder="1" applyAlignment="1">
      <alignment horizontal="center" vertical="center" wrapText="1"/>
    </xf>
    <xf numFmtId="166" fontId="2" fillId="9" borderId="18" xfId="0" applyNumberFormat="1" applyFont="1" applyFill="1" applyBorder="1" applyAlignment="1">
      <alignment horizontal="center" vertical="center" wrapText="1"/>
    </xf>
    <xf numFmtId="166" fontId="2" fillId="9" borderId="19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0" fillId="0" borderId="8" xfId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2">
    <dxf>
      <font>
        <b/>
        <i val="0"/>
        <color rgb="FFFFFF0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1219200</xdr:colOff>
      <xdr:row>23</xdr:row>
      <xdr:rowOff>171451</xdr:rowOff>
    </xdr:from>
    <xdr:to>
      <xdr:col>7</xdr:col>
      <xdr:colOff>819150</xdr:colOff>
      <xdr:row>25</xdr:row>
      <xdr:rowOff>176456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81F94F-AC40-410A-A001-2F8F62F43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3609976"/>
          <a:ext cx="2228850" cy="3860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133370</xdr:rowOff>
    </xdr:from>
    <xdr:to>
      <xdr:col>9</xdr:col>
      <xdr:colOff>38100</xdr:colOff>
      <xdr:row>3</xdr:row>
      <xdr:rowOff>99545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485B75-7DE5-43D5-8B0F-E590A4870D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1"/>
        <a:stretch/>
      </xdr:blipFill>
      <xdr:spPr bwMode="auto">
        <a:xfrm>
          <a:off x="3238500" y="133370"/>
          <a:ext cx="5953125" cy="54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83185</xdr:colOff>
      <xdr:row>51</xdr:row>
      <xdr:rowOff>151765</xdr:rowOff>
    </xdr:from>
    <xdr:to>
      <xdr:col>24</xdr:col>
      <xdr:colOff>83185</xdr:colOff>
      <xdr:row>55</xdr:row>
      <xdr:rowOff>140970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A30F35FA-0D9D-4486-91B6-4FEF2B9318CF}"/>
            </a:ext>
          </a:extLst>
        </xdr:cNvPr>
        <xdr:cNvCxnSpPr/>
      </xdr:nvCxnSpPr>
      <xdr:spPr>
        <a:xfrm>
          <a:off x="24286210" y="8914765"/>
          <a:ext cx="0" cy="75120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83185</xdr:colOff>
      <xdr:row>44</xdr:row>
      <xdr:rowOff>151765</xdr:rowOff>
    </xdr:from>
    <xdr:to>
      <xdr:col>23</xdr:col>
      <xdr:colOff>83185</xdr:colOff>
      <xdr:row>48</xdr:row>
      <xdr:rowOff>140970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74356AF3-2D5A-429C-B606-797175772D69}"/>
            </a:ext>
          </a:extLst>
        </xdr:cNvPr>
        <xdr:cNvCxnSpPr/>
      </xdr:nvCxnSpPr>
      <xdr:spPr>
        <a:xfrm>
          <a:off x="6026785" y="2914015"/>
          <a:ext cx="0" cy="75120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CBB3-F120-4F60-B09A-E14E60921E06}">
  <dimension ref="A1:BU270"/>
  <sheetViews>
    <sheetView tabSelected="1" workbookViewId="0">
      <pane ySplit="1" topLeftCell="A2" activePane="bottomLeft" state="frozen"/>
      <selection pane="bottomLeft" activeCell="I14" sqref="I14"/>
    </sheetView>
  </sheetViews>
  <sheetFormatPr defaultColWidth="20.42578125" defaultRowHeight="15" x14ac:dyDescent="0.25"/>
  <cols>
    <col min="1" max="1" width="4.42578125" style="112" customWidth="1"/>
    <col min="2" max="2" width="25.85546875" style="112" bestFit="1" customWidth="1"/>
    <col min="3" max="3" width="12.28515625" style="112" customWidth="1"/>
    <col min="4" max="4" width="6" style="112" customWidth="1"/>
    <col min="5" max="5" width="9.85546875" style="112" customWidth="1"/>
    <col min="6" max="9" width="19.7109375" style="112" customWidth="1"/>
    <col min="10" max="10" width="6" style="112" customWidth="1"/>
    <col min="11" max="11" width="14.42578125" style="133" bestFit="1" customWidth="1"/>
    <col min="12" max="12" width="12.85546875" style="114" bestFit="1" customWidth="1"/>
    <col min="13" max="13" width="4.42578125" style="112" customWidth="1"/>
    <col min="14" max="14" width="9.28515625" style="112" customWidth="1"/>
    <col min="15" max="15" width="17" style="112" customWidth="1"/>
    <col min="16" max="16" width="36.5703125" style="112" customWidth="1"/>
    <col min="17" max="17" width="11.7109375" style="112" customWidth="1"/>
    <col min="18" max="73" width="20.42578125" style="112"/>
    <col min="74" max="16384" width="20.42578125" style="114"/>
  </cols>
  <sheetData>
    <row r="1" spans="1:73" ht="4.5" customHeight="1" x14ac:dyDescent="0.25">
      <c r="K1" s="113"/>
      <c r="L1" s="112"/>
    </row>
    <row r="2" spans="1:73" ht="20.25" customHeight="1" x14ac:dyDescent="0.25">
      <c r="K2" s="113"/>
      <c r="L2" s="112"/>
    </row>
    <row r="3" spans="1:73" x14ac:dyDescent="0.25">
      <c r="K3" s="113"/>
      <c r="L3" s="112"/>
    </row>
    <row r="4" spans="1:73" x14ac:dyDescent="0.25">
      <c r="K4" s="113"/>
      <c r="L4" s="112"/>
    </row>
    <row r="5" spans="1:73" x14ac:dyDescent="0.25">
      <c r="E5" s="166" t="str">
        <f>IF(C14="SIM",E51,"")</f>
        <v/>
      </c>
      <c r="F5" s="166"/>
      <c r="G5" s="166"/>
      <c r="H5" s="166"/>
      <c r="I5" s="166"/>
      <c r="K5" s="113"/>
      <c r="L5" s="112"/>
    </row>
    <row r="6" spans="1:73" x14ac:dyDescent="0.25">
      <c r="K6" s="113"/>
      <c r="L6" s="112"/>
    </row>
    <row r="7" spans="1:73" x14ac:dyDescent="0.25">
      <c r="K7" s="113"/>
      <c r="L7" s="112"/>
    </row>
    <row r="8" spans="1:73" ht="18.75" customHeight="1" x14ac:dyDescent="0.25">
      <c r="B8" s="115" t="s">
        <v>139</v>
      </c>
      <c r="C8" s="116">
        <f ca="1">TODAY()</f>
        <v>45372</v>
      </c>
      <c r="K8" s="113"/>
      <c r="L8" s="112"/>
    </row>
    <row r="9" spans="1:73" ht="6" customHeight="1" x14ac:dyDescent="0.25">
      <c r="B9" s="114"/>
      <c r="C9" s="114"/>
      <c r="K9" s="113"/>
      <c r="L9" s="112"/>
    </row>
    <row r="10" spans="1:73" s="5" customFormat="1" ht="30" x14ac:dyDescent="0.25">
      <c r="A10" s="117"/>
      <c r="B10" s="168" t="s">
        <v>140</v>
      </c>
      <c r="C10" s="168"/>
      <c r="D10" s="117"/>
      <c r="E10" s="115" t="s">
        <v>141</v>
      </c>
      <c r="F10" s="115" t="s">
        <v>142</v>
      </c>
      <c r="G10" s="115" t="s">
        <v>143</v>
      </c>
      <c r="H10" s="118" t="s">
        <v>144</v>
      </c>
      <c r="I10" s="119" t="s">
        <v>145</v>
      </c>
      <c r="J10" s="117"/>
      <c r="K10" s="169" t="s">
        <v>146</v>
      </c>
      <c r="L10" s="169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</row>
    <row r="11" spans="1:73" x14ac:dyDescent="0.25">
      <c r="B11" s="120" t="s">
        <v>147</v>
      </c>
      <c r="C11" s="109">
        <v>34494</v>
      </c>
      <c r="E11" s="121">
        <f>IF('simulador pelo Saldo'!B8="","",'simulador pelo Saldo'!B8)</f>
        <v>1</v>
      </c>
      <c r="F11" s="122">
        <f ca="1">IF('simulador pelo Saldo'!A8="","",'simulador pelo Saldo'!A8)</f>
        <v>45444</v>
      </c>
      <c r="G11" s="123">
        <f>IF('simulador pelo Saldo'!G8="","",'simulador pelo Saldo'!G8)</f>
        <v>193.5</v>
      </c>
      <c r="H11" s="123">
        <f ca="1">IF('simulador pelo Saldo'!M8="","",'simulador pelo Saldo'!M8)</f>
        <v>1.7994487528587091</v>
      </c>
      <c r="I11" s="123">
        <f ca="1">IF('simulador pelo Saldo'!N8="","",'simulador pelo Saldo'!N8)</f>
        <v>183.63426444362824</v>
      </c>
      <c r="K11" s="124" t="str">
        <f>'simulador pelo Saldo'!A23</f>
        <v>TAXA a.m</v>
      </c>
      <c r="L11" s="125">
        <f>'simulador pelo Saldo'!B23</f>
        <v>1.7899999999999999E-2</v>
      </c>
      <c r="O11" s="163"/>
    </row>
    <row r="12" spans="1:73" x14ac:dyDescent="0.25">
      <c r="B12" s="120" t="s">
        <v>68</v>
      </c>
      <c r="C12" s="110">
        <v>387</v>
      </c>
      <c r="E12" s="121">
        <f>IF('simulador pelo Saldo'!B9="","",'simulador pelo Saldo'!B9)</f>
        <v>2</v>
      </c>
      <c r="F12" s="122">
        <f ca="1">IF('simulador pelo Saldo'!A9="","",'simulador pelo Saldo'!A9)</f>
        <v>45809</v>
      </c>
      <c r="G12" s="123">
        <f>IF('simulador pelo Saldo'!G9="","",'simulador pelo Saldo'!G9)</f>
        <v>96.75</v>
      </c>
      <c r="H12" s="123">
        <f ca="1">IF('simulador pelo Saldo'!M9="","",'simulador pelo Saldo'!M9)</f>
        <v>2.5201679391734069</v>
      </c>
      <c r="I12" s="123">
        <f ca="1">IF('simulador pelo Saldo'!N9="","",'simulador pelo Saldo'!N9)</f>
        <v>72.195750802996969</v>
      </c>
      <c r="K12" s="124" t="str">
        <f>'simulador pelo Saldo'!A24</f>
        <v>TAXA a.a</v>
      </c>
      <c r="L12" s="125">
        <f ca="1">'simulador pelo Saldo'!B24</f>
        <v>0.23730000000000001</v>
      </c>
    </row>
    <row r="13" spans="1:73" x14ac:dyDescent="0.25">
      <c r="B13" s="120" t="s">
        <v>131</v>
      </c>
      <c r="C13" s="111">
        <v>10</v>
      </c>
      <c r="E13" s="121">
        <f>IF('simulador pelo Saldo'!B10="","",'simulador pelo Saldo'!B10)</f>
        <v>3</v>
      </c>
      <c r="F13" s="122">
        <f ca="1">IF('simulador pelo Saldo'!A10="","",'simulador pelo Saldo'!A10)</f>
        <v>46174</v>
      </c>
      <c r="G13" s="123">
        <f>IF('simulador pelo Saldo'!G10="","",'simulador pelo Saldo'!G10)</f>
        <v>48.375</v>
      </c>
      <c r="H13" s="123">
        <f ca="1">IF('simulador pelo Saldo'!M10="","",'simulador pelo Saldo'!M10)</f>
        <v>1.0154392085131931</v>
      </c>
      <c r="I13" s="123">
        <f ca="1">IF('simulador pelo Saldo'!N10="","",'simulador pelo Saldo'!N10)</f>
        <v>29.089488408243202</v>
      </c>
      <c r="K13" s="124" t="str">
        <f>'simulador pelo Saldo'!A25</f>
        <v>IOF ADICIONAL</v>
      </c>
      <c r="L13" s="125">
        <f>'simulador pelo Saldo'!B25</f>
        <v>3.8E-3</v>
      </c>
    </row>
    <row r="14" spans="1:73" x14ac:dyDescent="0.25">
      <c r="B14" s="161" t="s">
        <v>154</v>
      </c>
      <c r="C14" s="161" t="s">
        <v>156</v>
      </c>
      <c r="E14" s="121">
        <f>IF('simulador pelo Saldo'!B11="","",'simulador pelo Saldo'!B11)</f>
        <v>4</v>
      </c>
      <c r="F14" s="122">
        <f ca="1">IF('simulador pelo Saldo'!A11="","",'simulador pelo Saldo'!A11)</f>
        <v>46539</v>
      </c>
      <c r="G14" s="123">
        <f>IF('simulador pelo Saldo'!G11="","",'simulador pelo Saldo'!G11)</f>
        <v>24.1875</v>
      </c>
      <c r="H14" s="123">
        <f ca="1">IF('simulador pelo Saldo'!M11="","",'simulador pelo Saldo'!M11)</f>
        <v>0.40914606132323778</v>
      </c>
      <c r="I14" s="123">
        <f ca="1">IF('simulador pelo Saldo'!N11="","",'simulador pelo Saldo'!N11)</f>
        <v>11.720888368657128</v>
      </c>
      <c r="K14" s="124" t="str">
        <f>'simulador pelo Saldo'!A26</f>
        <v>IOF DIÁRIO</v>
      </c>
      <c r="L14" s="126">
        <f>'simulador pelo Saldo'!B26</f>
        <v>8.2000000000000001E-5</v>
      </c>
    </row>
    <row r="15" spans="1:73" x14ac:dyDescent="0.25">
      <c r="E15" s="121">
        <f>IF('simulador pelo Saldo'!B12="","",'simulador pelo Saldo'!B12)</f>
        <v>5</v>
      </c>
      <c r="F15" s="122">
        <f ca="1">IF('simulador pelo Saldo'!A12="","",'simulador pelo Saldo'!A12)</f>
        <v>46905</v>
      </c>
      <c r="G15" s="123">
        <f>IF('simulador pelo Saldo'!G12="","",'simulador pelo Saldo'!G12)</f>
        <v>12.09375</v>
      </c>
      <c r="H15" s="123">
        <f ca="1">IF('simulador pelo Saldo'!M12="","",'simulador pelo Saldo'!M12)</f>
        <v>0.16475779985974812</v>
      </c>
      <c r="I15" s="123">
        <f ca="1">IF('simulador pelo Saldo'!N12="","",'simulador pelo Saldo'!N12)</f>
        <v>4.7198493706041749</v>
      </c>
      <c r="K15" s="124" t="str">
        <f>'simulador pelo Saldo'!A27</f>
        <v>IOF TOTAL</v>
      </c>
      <c r="L15" s="127">
        <f ca="1">'simulador pelo Saldo'!B27</f>
        <v>6.0189592412604283</v>
      </c>
    </row>
    <row r="16" spans="1:73" x14ac:dyDescent="0.25">
      <c r="B16" s="167" t="str">
        <f ca="1">B51</f>
        <v/>
      </c>
      <c r="C16" s="167"/>
      <c r="E16" s="121">
        <f>IF('simulador pelo Saldo'!B13="","",'simulador pelo Saldo'!B13)</f>
        <v>6</v>
      </c>
      <c r="F16" s="122">
        <f ca="1">IF('simulador pelo Saldo'!A13="","",'simulador pelo Saldo'!A13)</f>
        <v>47270</v>
      </c>
      <c r="G16" s="123">
        <f>IF('simulador pelo Saldo'!G13="","",'simulador pelo Saldo'!G13)</f>
        <v>6.046875</v>
      </c>
      <c r="H16" s="123">
        <f ca="1">IF('simulador pelo Saldo'!M13="","",'simulador pelo Saldo'!M13)</f>
        <v>6.638507191740213E-2</v>
      </c>
      <c r="I16" s="123">
        <f ca="1">IF('simulador pelo Saldo'!N13="","",'simulador pelo Saldo'!N13)</f>
        <v>1.901746322016844</v>
      </c>
      <c r="K16" s="124" t="str">
        <f>'simulador pelo Saldo'!A28</f>
        <v>JUROS</v>
      </c>
      <c r="L16" s="127">
        <f ca="1">'simulador pelo Saldo'!B28</f>
        <v>76.091692769682879</v>
      </c>
    </row>
    <row r="17" spans="2:13" x14ac:dyDescent="0.25">
      <c r="B17" s="167"/>
      <c r="C17" s="167"/>
      <c r="E17" s="121">
        <f>IF('simulador pelo Saldo'!B14="","",'simulador pelo Saldo'!B14)</f>
        <v>7</v>
      </c>
      <c r="F17" s="122">
        <f ca="1">IF('simulador pelo Saldo'!A14="","",'simulador pelo Saldo'!A14)</f>
        <v>47635</v>
      </c>
      <c r="G17" s="123">
        <f>IF('simulador pelo Saldo'!G14="","",'simulador pelo Saldo'!G14)</f>
        <v>3.0234375</v>
      </c>
      <c r="H17" s="123">
        <f ca="1">IF('simulador pelo Saldo'!M14="","",'simulador pelo Saldo'!M14)</f>
        <v>2.6748219369463189E-2</v>
      </c>
      <c r="I17" s="123">
        <f ca="1">IF('simulador pelo Saldo'!N14="","",'simulador pelo Saldo'!N14)</f>
        <v>0.76626154551233894</v>
      </c>
      <c r="K17" s="124" t="str">
        <f>'simulador pelo Saldo'!A29</f>
        <v>CET a.m</v>
      </c>
      <c r="L17" s="125">
        <f ca="1">'simulador pelo Saldo'!B29</f>
        <v>4.593693543040045E-2</v>
      </c>
    </row>
    <row r="18" spans="2:13" x14ac:dyDescent="0.25">
      <c r="B18" s="167"/>
      <c r="C18" s="167"/>
      <c r="E18" s="121">
        <f>IF('simulador pelo Saldo'!B15="","",'simulador pelo Saldo'!B15)</f>
        <v>8</v>
      </c>
      <c r="F18" s="122">
        <f ca="1">IF('simulador pelo Saldo'!A15="","",'simulador pelo Saldo'!A15)</f>
        <v>48000</v>
      </c>
      <c r="G18" s="123">
        <f>IF('simulador pelo Saldo'!G15="","",'simulador pelo Saldo'!G15)</f>
        <v>1.51171875</v>
      </c>
      <c r="H18" s="123">
        <f ca="1">IF('simulador pelo Saldo'!M15="","",'simulador pelo Saldo'!M15)</f>
        <v>1.0777532038032993E-2</v>
      </c>
      <c r="I18" s="123">
        <f ca="1">IF('simulador pelo Saldo'!N15="","",'simulador pelo Saldo'!N15)</f>
        <v>0.30874609790661545</v>
      </c>
      <c r="K18" s="124" t="str">
        <f>'simulador pelo Saldo'!A30</f>
        <v>CET a.a</v>
      </c>
      <c r="L18" s="125">
        <f ca="1">'simulador pelo Saldo'!B30</f>
        <v>0.72709999999999997</v>
      </c>
    </row>
    <row r="19" spans="2:13" x14ac:dyDescent="0.25">
      <c r="B19" s="167"/>
      <c r="C19" s="167"/>
      <c r="E19" s="121">
        <f>IF('simulador pelo Saldo'!B16="","",'simulador pelo Saldo'!B16)</f>
        <v>9</v>
      </c>
      <c r="F19" s="122">
        <f ca="1">IF('simulador pelo Saldo'!A16="","",'simulador pelo Saldo'!A16)</f>
        <v>48366</v>
      </c>
      <c r="G19" s="123">
        <f>IF('simulador pelo Saldo'!G16="","",'simulador pelo Saldo'!G16)</f>
        <v>0.755859375</v>
      </c>
      <c r="H19" s="123">
        <f ca="1">IF('simulador pelo Saldo'!M16="","",'simulador pelo Saldo'!M16)</f>
        <v>4.3399720402084478E-3</v>
      </c>
      <c r="I19" s="123">
        <f ca="1">IF('simulador pelo Saldo'!N16="","",'simulador pelo Saldo'!N16)</f>
        <v>0.12432803982485079</v>
      </c>
      <c r="K19" s="124" t="s">
        <v>159</v>
      </c>
      <c r="L19" s="162">
        <f ca="1">'simulador pelo Saldo'!B31</f>
        <v>60</v>
      </c>
    </row>
    <row r="20" spans="2:13" x14ac:dyDescent="0.25">
      <c r="B20" s="167"/>
      <c r="C20" s="167"/>
      <c r="E20" s="121">
        <f>IF('simulador pelo Saldo'!B17="","",'simulador pelo Saldo'!B17)</f>
        <v>10</v>
      </c>
      <c r="F20" s="122">
        <f ca="1">IF('simulador pelo Saldo'!A17="","",'simulador pelo Saldo'!A17)</f>
        <v>48731</v>
      </c>
      <c r="G20" s="123">
        <f>IF('simulador pelo Saldo'!G17="","",'simulador pelo Saldo'!G17)</f>
        <v>0.3779296875</v>
      </c>
      <c r="H20" s="123">
        <f ca="1">IF('simulador pelo Saldo'!M17="","",'simulador pelo Saldo'!M17)</f>
        <v>1.7486841670258314E-3</v>
      </c>
      <c r="I20" s="123">
        <f ca="1">IF('simulador pelo Saldo'!N17="","",'simulador pelo Saldo'!N17)</f>
        <v>5.0094902166381558E-2</v>
      </c>
      <c r="K20" s="113"/>
      <c r="L20" s="113"/>
    </row>
    <row r="21" spans="2:13" x14ac:dyDescent="0.25">
      <c r="B21" s="167"/>
      <c r="C21" s="167"/>
      <c r="E21" s="115">
        <f>IF('simulador pelo Saldo'!B18="","",'simulador pelo Saldo'!B18)</f>
        <v>10</v>
      </c>
      <c r="F21" s="115" t="str">
        <f>IF('simulador pelo Saldo'!A18="","",'simulador pelo Saldo'!A18)</f>
        <v/>
      </c>
      <c r="G21" s="128">
        <f>IF('simulador pelo Saldo'!G18="","",'simulador pelo Saldo'!G18)</f>
        <v>386.6220703125</v>
      </c>
      <c r="H21" s="129">
        <f ca="1">IF('simulador pelo Saldo'!M18="","",'simulador pelo Saldo'!M18)</f>
        <v>6.0189592412604283</v>
      </c>
      <c r="I21" s="130">
        <f ca="1">IF(H21=0,0,IF('simulador pelo Saldo'!N18="","",'simulador pelo Saldo'!N18)-L19)</f>
        <v>244.51141830155666</v>
      </c>
      <c r="K21" s="165">
        <f ca="1">'simulador pelo Saldo'!G23</f>
        <v>304.51141830155666</v>
      </c>
      <c r="L21" s="113"/>
    </row>
    <row r="22" spans="2:13" x14ac:dyDescent="0.25">
      <c r="B22" s="170" t="s">
        <v>160</v>
      </c>
      <c r="C22" s="170"/>
      <c r="F22" s="131"/>
      <c r="G22" s="132"/>
      <c r="H22" s="132"/>
      <c r="I22" s="132"/>
      <c r="K22" s="113"/>
      <c r="L22" s="113"/>
    </row>
    <row r="23" spans="2:13" ht="36" customHeight="1" x14ac:dyDescent="0.25">
      <c r="B23" s="167" t="str">
        <f ca="1">B42</f>
        <v xml:space="preserve"> 
TABELA 2 - 400032 - FGTS - 2</v>
      </c>
      <c r="C23" s="167"/>
      <c r="E23" s="167" t="str">
        <f>E37</f>
        <v>* Trata-se de uma simulação. O valor exato da contratação só será possível com a digitação da proposta no Portal de Vendas.</v>
      </c>
      <c r="F23" s="167"/>
      <c r="G23" s="167"/>
      <c r="H23" s="167"/>
      <c r="I23" s="167"/>
      <c r="J23" s="113"/>
      <c r="K23" s="113"/>
      <c r="L23" s="113"/>
      <c r="M23" s="113"/>
    </row>
    <row r="24" spans="2:13" x14ac:dyDescent="0.25">
      <c r="B24" s="167"/>
      <c r="C24" s="167"/>
      <c r="J24" s="113"/>
      <c r="K24" s="113"/>
      <c r="L24" s="113"/>
      <c r="M24" s="113"/>
    </row>
    <row r="25" spans="2:13" x14ac:dyDescent="0.25">
      <c r="B25" s="167"/>
      <c r="C25" s="167"/>
      <c r="J25" s="113"/>
      <c r="K25" s="113"/>
      <c r="L25" s="113"/>
      <c r="M25" s="113"/>
    </row>
    <row r="26" spans="2:13" x14ac:dyDescent="0.25">
      <c r="B26" s="167"/>
      <c r="C26" s="167"/>
      <c r="J26" s="113"/>
      <c r="K26" s="113"/>
      <c r="L26" s="113" t="s">
        <v>161</v>
      </c>
      <c r="M26" s="113"/>
    </row>
    <row r="27" spans="2:13" x14ac:dyDescent="0.25">
      <c r="K27" s="112"/>
      <c r="L27" s="112"/>
    </row>
    <row r="28" spans="2:13" x14ac:dyDescent="0.25">
      <c r="K28" s="112"/>
      <c r="L28" s="112"/>
    </row>
    <row r="29" spans="2:13" x14ac:dyDescent="0.25">
      <c r="K29" s="112"/>
      <c r="L29" s="112"/>
    </row>
    <row r="30" spans="2:13" x14ac:dyDescent="0.25">
      <c r="K30" s="112"/>
      <c r="L30" s="112"/>
    </row>
    <row r="31" spans="2:13" x14ac:dyDescent="0.25">
      <c r="K31" s="112"/>
      <c r="L31" s="112"/>
    </row>
    <row r="32" spans="2:13" x14ac:dyDescent="0.25">
      <c r="K32" s="112"/>
      <c r="L32" s="112"/>
    </row>
    <row r="33" spans="2:12" x14ac:dyDescent="0.25">
      <c r="K33" s="112"/>
      <c r="L33" s="112"/>
    </row>
    <row r="34" spans="2:12" x14ac:dyDescent="0.25">
      <c r="K34" s="112"/>
      <c r="L34" s="112"/>
    </row>
    <row r="35" spans="2:12" x14ac:dyDescent="0.25">
      <c r="K35" s="112"/>
      <c r="L35" s="112"/>
    </row>
    <row r="36" spans="2:12" x14ac:dyDescent="0.25">
      <c r="K36" s="112"/>
      <c r="L36" s="112"/>
    </row>
    <row r="37" spans="2:12" x14ac:dyDescent="0.25">
      <c r="E37" s="167" t="str">
        <f>IF(C12&gt;0,"* Trata-se de uma simulação. O valor exato da contratação só será possível com a digitação da proposta no Portal de Vendas.","")</f>
        <v>* Trata-se de uma simulação. O valor exato da contratação só será possível com a digitação da proposta no Portal de Vendas.</v>
      </c>
      <c r="F37" s="167"/>
      <c r="G37" s="167"/>
      <c r="H37" s="167"/>
      <c r="I37" s="167"/>
      <c r="K37" s="112"/>
      <c r="L37" s="112"/>
    </row>
    <row r="38" spans="2:12" x14ac:dyDescent="0.25">
      <c r="K38" s="112"/>
      <c r="L38" s="112"/>
    </row>
    <row r="39" spans="2:12" x14ac:dyDescent="0.25">
      <c r="K39" s="112"/>
      <c r="L39" s="112"/>
    </row>
    <row r="40" spans="2:12" x14ac:dyDescent="0.25">
      <c r="K40" s="112"/>
      <c r="L40" s="112"/>
    </row>
    <row r="41" spans="2:12" x14ac:dyDescent="0.25">
      <c r="K41" s="112"/>
      <c r="L41" s="112"/>
    </row>
    <row r="42" spans="2:12" x14ac:dyDescent="0.25">
      <c r="B42" s="112" t="str">
        <f ca="1">IF(K21&gt;900,"TABELA 3 - 400033 - FGTS - 3",IF(K21&gt;300," 
TABELA 2 - 400032 - FGTS - 2",IF(K21&gt;99.999,"TABELA 1 - 400031 - FGTS - 1","")))</f>
        <v xml:space="preserve"> 
TABELA 2 - 400032 - FGTS - 2</v>
      </c>
      <c r="K42" s="112"/>
      <c r="L42" s="112"/>
    </row>
    <row r="43" spans="2:12" x14ac:dyDescent="0.25">
      <c r="K43" s="112"/>
      <c r="L43" s="112"/>
    </row>
    <row r="44" spans="2:12" x14ac:dyDescent="0.25">
      <c r="K44" s="112"/>
      <c r="L44" s="112"/>
    </row>
    <row r="45" spans="2:12" x14ac:dyDescent="0.25">
      <c r="K45" s="112"/>
      <c r="L45" s="112"/>
    </row>
    <row r="46" spans="2:12" x14ac:dyDescent="0.25">
      <c r="K46" s="112"/>
      <c r="L46" s="112"/>
    </row>
    <row r="47" spans="2:12" x14ac:dyDescent="0.25">
      <c r="K47" s="112"/>
      <c r="L47" s="112"/>
    </row>
    <row r="48" spans="2:12" x14ac:dyDescent="0.25">
      <c r="K48" s="112"/>
      <c r="L48" s="112"/>
    </row>
    <row r="49" spans="2:12" x14ac:dyDescent="0.25">
      <c r="K49" s="112"/>
      <c r="L49" s="112"/>
    </row>
    <row r="50" spans="2:12" x14ac:dyDescent="0.25">
      <c r="K50" s="112"/>
      <c r="L50" s="112"/>
    </row>
    <row r="51" spans="2:12" x14ac:dyDescent="0.25">
      <c r="B51" s="153" t="str">
        <f ca="1">IF(C11="","Preencher os 4 dados acima",IF(C12="","Preencher os 4 dados acima",IF(C13="","Preencher os 4 dados acima",IF(C14="","Preencher os 4 dados acima",IF(I21&lt;100,"Valor líquido ou prazo fora da política",IF(C13&gt;'simulador pelo Saldo'!B20,"Valor líquido ou prazo fora da política",""))))))</f>
        <v/>
      </c>
      <c r="E51" s="112" t="s">
        <v>158</v>
      </c>
      <c r="K51" s="112"/>
      <c r="L51" s="112"/>
    </row>
    <row r="52" spans="2:12" x14ac:dyDescent="0.25">
      <c r="K52" s="112"/>
      <c r="L52" s="112"/>
    </row>
    <row r="53" spans="2:12" x14ac:dyDescent="0.25">
      <c r="K53" s="112"/>
      <c r="L53" s="112"/>
    </row>
    <row r="54" spans="2:12" x14ac:dyDescent="0.25">
      <c r="K54" s="112"/>
      <c r="L54" s="112"/>
    </row>
    <row r="55" spans="2:12" x14ac:dyDescent="0.25">
      <c r="K55" s="112"/>
      <c r="L55" s="112"/>
    </row>
    <row r="56" spans="2:12" x14ac:dyDescent="0.25">
      <c r="K56" s="112"/>
      <c r="L56" s="112"/>
    </row>
    <row r="57" spans="2:12" x14ac:dyDescent="0.25">
      <c r="K57" s="112"/>
      <c r="L57" s="112"/>
    </row>
    <row r="58" spans="2:12" x14ac:dyDescent="0.25">
      <c r="K58" s="112"/>
      <c r="L58" s="112"/>
    </row>
    <row r="59" spans="2:12" x14ac:dyDescent="0.25">
      <c r="K59" s="112"/>
      <c r="L59" s="112"/>
    </row>
    <row r="60" spans="2:12" x14ac:dyDescent="0.25">
      <c r="K60" s="112"/>
      <c r="L60" s="112"/>
    </row>
    <row r="61" spans="2:12" x14ac:dyDescent="0.25">
      <c r="K61" s="112"/>
      <c r="L61" s="112"/>
    </row>
    <row r="62" spans="2:12" x14ac:dyDescent="0.25">
      <c r="K62" s="112"/>
      <c r="L62" s="112"/>
    </row>
    <row r="63" spans="2:12" x14ac:dyDescent="0.25">
      <c r="K63" s="112"/>
      <c r="L63" s="112"/>
    </row>
    <row r="64" spans="2:12" x14ac:dyDescent="0.25">
      <c r="K64" s="112"/>
      <c r="L64" s="112"/>
    </row>
    <row r="65" spans="11:12" x14ac:dyDescent="0.25">
      <c r="K65" s="112"/>
      <c r="L65" s="112"/>
    </row>
    <row r="66" spans="11:12" x14ac:dyDescent="0.25">
      <c r="K66" s="112"/>
      <c r="L66" s="112"/>
    </row>
    <row r="67" spans="11:12" x14ac:dyDescent="0.25">
      <c r="K67" s="112"/>
      <c r="L67" s="112"/>
    </row>
    <row r="68" spans="11:12" x14ac:dyDescent="0.25">
      <c r="K68" s="112"/>
      <c r="L68" s="112"/>
    </row>
    <row r="69" spans="11:12" x14ac:dyDescent="0.25">
      <c r="K69" s="112"/>
      <c r="L69" s="112"/>
    </row>
    <row r="70" spans="11:12" x14ac:dyDescent="0.25">
      <c r="K70" s="112"/>
      <c r="L70" s="112"/>
    </row>
    <row r="71" spans="11:12" x14ac:dyDescent="0.25">
      <c r="K71" s="112"/>
      <c r="L71" s="112"/>
    </row>
    <row r="72" spans="11:12" x14ac:dyDescent="0.25">
      <c r="K72" s="112"/>
      <c r="L72" s="112"/>
    </row>
    <row r="73" spans="11:12" x14ac:dyDescent="0.25">
      <c r="K73" s="112"/>
      <c r="L73" s="112"/>
    </row>
    <row r="74" spans="11:12" x14ac:dyDescent="0.25">
      <c r="K74" s="112"/>
      <c r="L74" s="112"/>
    </row>
    <row r="75" spans="11:12" x14ac:dyDescent="0.25">
      <c r="K75" s="112"/>
      <c r="L75" s="112"/>
    </row>
    <row r="76" spans="11:12" x14ac:dyDescent="0.25">
      <c r="K76" s="112"/>
      <c r="L76" s="112"/>
    </row>
    <row r="77" spans="11:12" x14ac:dyDescent="0.25">
      <c r="K77" s="112"/>
      <c r="L77" s="112"/>
    </row>
    <row r="78" spans="11:12" x14ac:dyDescent="0.25">
      <c r="K78" s="112"/>
      <c r="L78" s="112"/>
    </row>
    <row r="79" spans="11:12" x14ac:dyDescent="0.25">
      <c r="K79" s="112"/>
      <c r="L79" s="112"/>
    </row>
    <row r="80" spans="11:12" x14ac:dyDescent="0.25">
      <c r="K80" s="112"/>
      <c r="L80" s="112"/>
    </row>
    <row r="81" spans="11:12" x14ac:dyDescent="0.25">
      <c r="K81" s="112"/>
      <c r="L81" s="112"/>
    </row>
    <row r="82" spans="11:12" x14ac:dyDescent="0.25">
      <c r="K82" s="112"/>
      <c r="L82" s="112"/>
    </row>
    <row r="83" spans="11:12" x14ac:dyDescent="0.25">
      <c r="K83" s="112"/>
      <c r="L83" s="112"/>
    </row>
    <row r="84" spans="11:12" x14ac:dyDescent="0.25">
      <c r="K84" s="112"/>
      <c r="L84" s="112"/>
    </row>
    <row r="85" spans="11:12" x14ac:dyDescent="0.25">
      <c r="K85" s="112"/>
      <c r="L85" s="112"/>
    </row>
    <row r="86" spans="11:12" x14ac:dyDescent="0.25">
      <c r="K86" s="112"/>
      <c r="L86" s="112"/>
    </row>
    <row r="87" spans="11:12" x14ac:dyDescent="0.25">
      <c r="K87" s="112"/>
      <c r="L87" s="112"/>
    </row>
    <row r="88" spans="11:12" x14ac:dyDescent="0.25">
      <c r="K88" s="112"/>
      <c r="L88" s="112"/>
    </row>
    <row r="89" spans="11:12" x14ac:dyDescent="0.25">
      <c r="K89" s="112"/>
      <c r="L89" s="112"/>
    </row>
    <row r="90" spans="11:12" x14ac:dyDescent="0.25">
      <c r="K90" s="112"/>
      <c r="L90" s="112"/>
    </row>
    <row r="91" spans="11:12" x14ac:dyDescent="0.25">
      <c r="K91" s="112"/>
      <c r="L91" s="112"/>
    </row>
    <row r="92" spans="11:12" x14ac:dyDescent="0.25">
      <c r="K92" s="112"/>
      <c r="L92" s="112"/>
    </row>
    <row r="93" spans="11:12" x14ac:dyDescent="0.25">
      <c r="K93" s="112"/>
      <c r="L93" s="112"/>
    </row>
    <row r="94" spans="11:12" x14ac:dyDescent="0.25">
      <c r="K94" s="112"/>
      <c r="L94" s="112"/>
    </row>
    <row r="95" spans="11:12" x14ac:dyDescent="0.25">
      <c r="K95" s="112"/>
      <c r="L95" s="112"/>
    </row>
    <row r="96" spans="11:12" x14ac:dyDescent="0.25">
      <c r="K96" s="112"/>
      <c r="L96" s="112"/>
    </row>
    <row r="97" spans="11:12" x14ac:dyDescent="0.25">
      <c r="K97" s="112"/>
      <c r="L97" s="112"/>
    </row>
    <row r="98" spans="11:12" x14ac:dyDescent="0.25">
      <c r="K98" s="112"/>
      <c r="L98" s="112"/>
    </row>
    <row r="99" spans="11:12" x14ac:dyDescent="0.25">
      <c r="K99" s="112"/>
      <c r="L99" s="112"/>
    </row>
    <row r="100" spans="11:12" x14ac:dyDescent="0.25">
      <c r="K100" s="112"/>
      <c r="L100" s="112"/>
    </row>
    <row r="101" spans="11:12" x14ac:dyDescent="0.25">
      <c r="K101" s="112"/>
      <c r="L101" s="112"/>
    </row>
    <row r="102" spans="11:12" x14ac:dyDescent="0.25">
      <c r="K102" s="112"/>
      <c r="L102" s="112"/>
    </row>
    <row r="103" spans="11:12" x14ac:dyDescent="0.25">
      <c r="K103" s="112"/>
      <c r="L103" s="112"/>
    </row>
    <row r="104" spans="11:12" x14ac:dyDescent="0.25">
      <c r="K104" s="112"/>
      <c r="L104" s="112"/>
    </row>
    <row r="105" spans="11:12" x14ac:dyDescent="0.25">
      <c r="K105" s="112"/>
      <c r="L105" s="112"/>
    </row>
    <row r="106" spans="11:12" x14ac:dyDescent="0.25">
      <c r="K106" s="112"/>
      <c r="L106" s="112"/>
    </row>
    <row r="107" spans="11:12" x14ac:dyDescent="0.25">
      <c r="K107" s="112"/>
      <c r="L107" s="112"/>
    </row>
    <row r="108" spans="11:12" x14ac:dyDescent="0.25">
      <c r="K108" s="112"/>
      <c r="L108" s="112"/>
    </row>
    <row r="109" spans="11:12" x14ac:dyDescent="0.25">
      <c r="K109" s="112"/>
      <c r="L109" s="112"/>
    </row>
    <row r="110" spans="11:12" x14ac:dyDescent="0.25">
      <c r="K110" s="112"/>
      <c r="L110" s="112"/>
    </row>
    <row r="111" spans="11:12" x14ac:dyDescent="0.25">
      <c r="K111" s="112"/>
      <c r="L111" s="112"/>
    </row>
    <row r="112" spans="11:12" x14ac:dyDescent="0.25">
      <c r="K112" s="112"/>
      <c r="L112" s="112"/>
    </row>
    <row r="113" spans="11:12" x14ac:dyDescent="0.25">
      <c r="K113" s="112"/>
      <c r="L113" s="112"/>
    </row>
    <row r="114" spans="11:12" x14ac:dyDescent="0.25">
      <c r="K114" s="112"/>
      <c r="L114" s="112"/>
    </row>
    <row r="115" spans="11:12" x14ac:dyDescent="0.25">
      <c r="K115" s="112"/>
      <c r="L115" s="112"/>
    </row>
    <row r="116" spans="11:12" x14ac:dyDescent="0.25">
      <c r="K116" s="112"/>
      <c r="L116" s="112"/>
    </row>
    <row r="117" spans="11:12" x14ac:dyDescent="0.25">
      <c r="K117" s="112"/>
      <c r="L117" s="112"/>
    </row>
    <row r="118" spans="11:12" x14ac:dyDescent="0.25">
      <c r="K118" s="112"/>
      <c r="L118" s="112"/>
    </row>
    <row r="119" spans="11:12" x14ac:dyDescent="0.25">
      <c r="K119" s="112"/>
      <c r="L119" s="112"/>
    </row>
    <row r="120" spans="11:12" x14ac:dyDescent="0.25">
      <c r="K120" s="112"/>
      <c r="L120" s="112"/>
    </row>
    <row r="121" spans="11:12" x14ac:dyDescent="0.25">
      <c r="K121" s="112"/>
      <c r="L121" s="112"/>
    </row>
    <row r="122" spans="11:12" x14ac:dyDescent="0.25">
      <c r="K122" s="112"/>
      <c r="L122" s="112"/>
    </row>
    <row r="123" spans="11:12" x14ac:dyDescent="0.25">
      <c r="K123" s="112"/>
      <c r="L123" s="112"/>
    </row>
    <row r="124" spans="11:12" x14ac:dyDescent="0.25">
      <c r="K124" s="112"/>
      <c r="L124" s="112"/>
    </row>
    <row r="125" spans="11:12" x14ac:dyDescent="0.25">
      <c r="K125" s="112"/>
      <c r="L125" s="112"/>
    </row>
    <row r="126" spans="11:12" x14ac:dyDescent="0.25">
      <c r="K126" s="112"/>
      <c r="L126" s="112"/>
    </row>
    <row r="127" spans="11:12" x14ac:dyDescent="0.25">
      <c r="K127" s="112"/>
      <c r="L127" s="112"/>
    </row>
    <row r="128" spans="11:12" x14ac:dyDescent="0.25">
      <c r="K128" s="112"/>
      <c r="L128" s="112"/>
    </row>
    <row r="129" spans="11:12" x14ac:dyDescent="0.25">
      <c r="K129" s="112"/>
      <c r="L129" s="112"/>
    </row>
    <row r="130" spans="11:12" x14ac:dyDescent="0.25">
      <c r="K130" s="112"/>
      <c r="L130" s="112"/>
    </row>
    <row r="131" spans="11:12" x14ac:dyDescent="0.25">
      <c r="K131" s="112"/>
      <c r="L131" s="112"/>
    </row>
    <row r="132" spans="11:12" x14ac:dyDescent="0.25">
      <c r="K132" s="112"/>
      <c r="L132" s="112"/>
    </row>
    <row r="133" spans="11:12" x14ac:dyDescent="0.25">
      <c r="K133" s="112"/>
      <c r="L133" s="112"/>
    </row>
    <row r="134" spans="11:12" x14ac:dyDescent="0.25">
      <c r="K134" s="112"/>
      <c r="L134" s="112"/>
    </row>
    <row r="135" spans="11:12" x14ac:dyDescent="0.25">
      <c r="K135" s="112"/>
      <c r="L135" s="112"/>
    </row>
    <row r="136" spans="11:12" x14ac:dyDescent="0.25">
      <c r="K136" s="112"/>
      <c r="L136" s="112"/>
    </row>
    <row r="137" spans="11:12" x14ac:dyDescent="0.25">
      <c r="K137" s="112"/>
      <c r="L137" s="112"/>
    </row>
    <row r="138" spans="11:12" x14ac:dyDescent="0.25">
      <c r="K138" s="112"/>
      <c r="L138" s="112"/>
    </row>
    <row r="139" spans="11:12" x14ac:dyDescent="0.25">
      <c r="K139" s="112"/>
      <c r="L139" s="112"/>
    </row>
    <row r="140" spans="11:12" x14ac:dyDescent="0.25">
      <c r="K140" s="112"/>
      <c r="L140" s="112"/>
    </row>
    <row r="141" spans="11:12" x14ac:dyDescent="0.25">
      <c r="K141" s="112"/>
      <c r="L141" s="112"/>
    </row>
    <row r="142" spans="11:12" x14ac:dyDescent="0.25">
      <c r="K142" s="112"/>
      <c r="L142" s="112"/>
    </row>
    <row r="143" spans="11:12" x14ac:dyDescent="0.25">
      <c r="K143" s="112"/>
      <c r="L143" s="112"/>
    </row>
    <row r="144" spans="11:12" x14ac:dyDescent="0.25">
      <c r="K144" s="112"/>
      <c r="L144" s="112"/>
    </row>
    <row r="145" spans="11:12" x14ac:dyDescent="0.25">
      <c r="K145" s="112"/>
      <c r="L145" s="112"/>
    </row>
    <row r="146" spans="11:12" x14ac:dyDescent="0.25">
      <c r="K146" s="112"/>
      <c r="L146" s="112"/>
    </row>
    <row r="147" spans="11:12" x14ac:dyDescent="0.25">
      <c r="K147" s="112"/>
      <c r="L147" s="112"/>
    </row>
    <row r="148" spans="11:12" x14ac:dyDescent="0.25">
      <c r="K148" s="112"/>
      <c r="L148" s="112"/>
    </row>
    <row r="149" spans="11:12" x14ac:dyDescent="0.25">
      <c r="K149" s="112"/>
      <c r="L149" s="112"/>
    </row>
    <row r="150" spans="11:12" x14ac:dyDescent="0.25">
      <c r="K150" s="112"/>
      <c r="L150" s="112"/>
    </row>
    <row r="151" spans="11:12" x14ac:dyDescent="0.25">
      <c r="K151" s="112"/>
      <c r="L151" s="112"/>
    </row>
    <row r="152" spans="11:12" x14ac:dyDescent="0.25">
      <c r="K152" s="112"/>
      <c r="L152" s="112"/>
    </row>
    <row r="153" spans="11:12" x14ac:dyDescent="0.25">
      <c r="K153" s="112"/>
      <c r="L153" s="112"/>
    </row>
    <row r="154" spans="11:12" x14ac:dyDescent="0.25">
      <c r="K154" s="112"/>
      <c r="L154" s="112"/>
    </row>
    <row r="155" spans="11:12" x14ac:dyDescent="0.25">
      <c r="K155" s="112"/>
      <c r="L155" s="112"/>
    </row>
    <row r="156" spans="11:12" x14ac:dyDescent="0.25">
      <c r="K156" s="112"/>
      <c r="L156" s="112"/>
    </row>
    <row r="157" spans="11:12" x14ac:dyDescent="0.25">
      <c r="K157" s="112"/>
      <c r="L157" s="112"/>
    </row>
    <row r="158" spans="11:12" x14ac:dyDescent="0.25">
      <c r="K158" s="112"/>
      <c r="L158" s="112"/>
    </row>
    <row r="159" spans="11:12" x14ac:dyDescent="0.25">
      <c r="K159" s="112"/>
      <c r="L159" s="112"/>
    </row>
    <row r="160" spans="11:12" x14ac:dyDescent="0.25">
      <c r="K160" s="112"/>
      <c r="L160" s="112"/>
    </row>
    <row r="161" spans="11:12" x14ac:dyDescent="0.25">
      <c r="K161" s="112"/>
      <c r="L161" s="112"/>
    </row>
    <row r="162" spans="11:12" x14ac:dyDescent="0.25">
      <c r="K162" s="112"/>
      <c r="L162" s="112"/>
    </row>
    <row r="163" spans="11:12" x14ac:dyDescent="0.25">
      <c r="K163" s="112"/>
      <c r="L163" s="112"/>
    </row>
    <row r="164" spans="11:12" x14ac:dyDescent="0.25">
      <c r="K164" s="112"/>
      <c r="L164" s="112"/>
    </row>
    <row r="165" spans="11:12" x14ac:dyDescent="0.25">
      <c r="K165" s="112"/>
      <c r="L165" s="112"/>
    </row>
    <row r="166" spans="11:12" x14ac:dyDescent="0.25">
      <c r="K166" s="112"/>
      <c r="L166" s="112"/>
    </row>
    <row r="167" spans="11:12" x14ac:dyDescent="0.25">
      <c r="K167" s="112"/>
      <c r="L167" s="112"/>
    </row>
    <row r="168" spans="11:12" x14ac:dyDescent="0.25">
      <c r="K168" s="112"/>
      <c r="L168" s="112"/>
    </row>
    <row r="169" spans="11:12" x14ac:dyDescent="0.25">
      <c r="K169" s="112"/>
      <c r="L169" s="112"/>
    </row>
    <row r="170" spans="11:12" x14ac:dyDescent="0.25">
      <c r="K170" s="112"/>
      <c r="L170" s="112"/>
    </row>
    <row r="171" spans="11:12" x14ac:dyDescent="0.25">
      <c r="K171" s="112"/>
      <c r="L171" s="112"/>
    </row>
    <row r="172" spans="11:12" x14ac:dyDescent="0.25">
      <c r="K172" s="112"/>
      <c r="L172" s="112"/>
    </row>
    <row r="173" spans="11:12" x14ac:dyDescent="0.25">
      <c r="K173" s="112"/>
      <c r="L173" s="112"/>
    </row>
    <row r="174" spans="11:12" x14ac:dyDescent="0.25">
      <c r="K174" s="112"/>
      <c r="L174" s="112"/>
    </row>
    <row r="175" spans="11:12" x14ac:dyDescent="0.25">
      <c r="K175" s="112"/>
      <c r="L175" s="112"/>
    </row>
    <row r="176" spans="11:12" x14ac:dyDescent="0.25">
      <c r="K176" s="112"/>
      <c r="L176" s="112"/>
    </row>
    <row r="177" spans="11:12" x14ac:dyDescent="0.25">
      <c r="K177" s="112"/>
      <c r="L177" s="112"/>
    </row>
    <row r="178" spans="11:12" x14ac:dyDescent="0.25">
      <c r="K178" s="112"/>
      <c r="L178" s="112"/>
    </row>
    <row r="179" spans="11:12" x14ac:dyDescent="0.25">
      <c r="K179" s="112"/>
      <c r="L179" s="112"/>
    </row>
    <row r="180" spans="11:12" x14ac:dyDescent="0.25">
      <c r="K180" s="112"/>
      <c r="L180" s="112"/>
    </row>
    <row r="181" spans="11:12" x14ac:dyDescent="0.25">
      <c r="K181" s="112"/>
      <c r="L181" s="112"/>
    </row>
    <row r="182" spans="11:12" x14ac:dyDescent="0.25">
      <c r="K182" s="112"/>
      <c r="L182" s="112"/>
    </row>
    <row r="183" spans="11:12" x14ac:dyDescent="0.25">
      <c r="K183" s="112"/>
      <c r="L183" s="112"/>
    </row>
    <row r="184" spans="11:12" x14ac:dyDescent="0.25">
      <c r="K184" s="112"/>
      <c r="L184" s="112"/>
    </row>
    <row r="185" spans="11:12" x14ac:dyDescent="0.25">
      <c r="K185" s="112"/>
      <c r="L185" s="112"/>
    </row>
    <row r="186" spans="11:12" x14ac:dyDescent="0.25">
      <c r="K186" s="112"/>
      <c r="L186" s="112"/>
    </row>
    <row r="187" spans="11:12" x14ac:dyDescent="0.25">
      <c r="K187" s="112"/>
      <c r="L187" s="112"/>
    </row>
    <row r="188" spans="11:12" x14ac:dyDescent="0.25">
      <c r="K188" s="112"/>
      <c r="L188" s="112"/>
    </row>
    <row r="189" spans="11:12" x14ac:dyDescent="0.25">
      <c r="K189" s="112"/>
      <c r="L189" s="112"/>
    </row>
    <row r="190" spans="11:12" x14ac:dyDescent="0.25">
      <c r="K190" s="112"/>
      <c r="L190" s="112"/>
    </row>
    <row r="191" spans="11:12" x14ac:dyDescent="0.25">
      <c r="K191" s="112"/>
      <c r="L191" s="112"/>
    </row>
    <row r="192" spans="11:12" x14ac:dyDescent="0.25">
      <c r="K192" s="112"/>
      <c r="L192" s="112"/>
    </row>
    <row r="193" spans="11:12" x14ac:dyDescent="0.25">
      <c r="K193" s="112"/>
      <c r="L193" s="112"/>
    </row>
    <row r="194" spans="11:12" x14ac:dyDescent="0.25">
      <c r="K194" s="112"/>
      <c r="L194" s="112"/>
    </row>
    <row r="195" spans="11:12" x14ac:dyDescent="0.25">
      <c r="K195" s="112"/>
      <c r="L195" s="112"/>
    </row>
    <row r="196" spans="11:12" x14ac:dyDescent="0.25">
      <c r="K196" s="112"/>
      <c r="L196" s="112"/>
    </row>
    <row r="197" spans="11:12" x14ac:dyDescent="0.25">
      <c r="K197" s="112"/>
      <c r="L197" s="112"/>
    </row>
    <row r="198" spans="11:12" x14ac:dyDescent="0.25">
      <c r="K198" s="112"/>
      <c r="L198" s="112"/>
    </row>
    <row r="199" spans="11:12" x14ac:dyDescent="0.25">
      <c r="K199" s="112"/>
      <c r="L199" s="112"/>
    </row>
    <row r="200" spans="11:12" x14ac:dyDescent="0.25">
      <c r="K200" s="112"/>
      <c r="L200" s="112"/>
    </row>
    <row r="201" spans="11:12" x14ac:dyDescent="0.25">
      <c r="K201" s="112"/>
      <c r="L201" s="112"/>
    </row>
    <row r="202" spans="11:12" x14ac:dyDescent="0.25">
      <c r="K202" s="112"/>
      <c r="L202" s="112"/>
    </row>
    <row r="203" spans="11:12" x14ac:dyDescent="0.25">
      <c r="K203" s="112"/>
      <c r="L203" s="112"/>
    </row>
    <row r="204" spans="11:12" x14ac:dyDescent="0.25">
      <c r="K204" s="112"/>
      <c r="L204" s="112"/>
    </row>
    <row r="205" spans="11:12" x14ac:dyDescent="0.25">
      <c r="K205" s="112"/>
      <c r="L205" s="112"/>
    </row>
    <row r="206" spans="11:12" x14ac:dyDescent="0.25">
      <c r="K206" s="112"/>
      <c r="L206" s="112"/>
    </row>
    <row r="207" spans="11:12" x14ac:dyDescent="0.25">
      <c r="K207" s="112"/>
      <c r="L207" s="112"/>
    </row>
    <row r="208" spans="11:12" x14ac:dyDescent="0.25">
      <c r="K208" s="112"/>
      <c r="L208" s="112"/>
    </row>
    <row r="209" spans="11:12" x14ac:dyDescent="0.25">
      <c r="K209" s="112"/>
      <c r="L209" s="112"/>
    </row>
    <row r="210" spans="11:12" x14ac:dyDescent="0.25">
      <c r="K210" s="112"/>
      <c r="L210" s="112"/>
    </row>
    <row r="211" spans="11:12" x14ac:dyDescent="0.25">
      <c r="K211" s="112"/>
      <c r="L211" s="112"/>
    </row>
    <row r="212" spans="11:12" x14ac:dyDescent="0.25">
      <c r="K212" s="112"/>
      <c r="L212" s="112"/>
    </row>
    <row r="213" spans="11:12" x14ac:dyDescent="0.25">
      <c r="K213" s="112"/>
      <c r="L213" s="112"/>
    </row>
    <row r="214" spans="11:12" x14ac:dyDescent="0.25">
      <c r="K214" s="112"/>
      <c r="L214" s="112"/>
    </row>
    <row r="215" spans="11:12" x14ac:dyDescent="0.25">
      <c r="K215" s="112"/>
      <c r="L215" s="112"/>
    </row>
    <row r="216" spans="11:12" x14ac:dyDescent="0.25">
      <c r="K216" s="112"/>
      <c r="L216" s="112"/>
    </row>
    <row r="217" spans="11:12" x14ac:dyDescent="0.25">
      <c r="K217" s="112"/>
      <c r="L217" s="112"/>
    </row>
    <row r="218" spans="11:12" x14ac:dyDescent="0.25">
      <c r="K218" s="112"/>
      <c r="L218" s="112"/>
    </row>
    <row r="219" spans="11:12" x14ac:dyDescent="0.25">
      <c r="K219" s="112"/>
      <c r="L219" s="112"/>
    </row>
    <row r="220" spans="11:12" x14ac:dyDescent="0.25">
      <c r="K220" s="112"/>
      <c r="L220" s="112"/>
    </row>
    <row r="221" spans="11:12" x14ac:dyDescent="0.25">
      <c r="K221" s="112"/>
      <c r="L221" s="112"/>
    </row>
    <row r="222" spans="11:12" x14ac:dyDescent="0.25">
      <c r="K222" s="112"/>
      <c r="L222" s="112"/>
    </row>
    <row r="223" spans="11:12" x14ac:dyDescent="0.25">
      <c r="K223" s="112"/>
      <c r="L223" s="112"/>
    </row>
    <row r="224" spans="11:12" x14ac:dyDescent="0.25">
      <c r="K224" s="112"/>
      <c r="L224" s="112"/>
    </row>
    <row r="225" spans="11:12" x14ac:dyDescent="0.25">
      <c r="K225" s="112"/>
      <c r="L225" s="112"/>
    </row>
    <row r="226" spans="11:12" x14ac:dyDescent="0.25">
      <c r="K226" s="112"/>
      <c r="L226" s="112"/>
    </row>
    <row r="227" spans="11:12" x14ac:dyDescent="0.25">
      <c r="K227" s="112"/>
      <c r="L227" s="112"/>
    </row>
    <row r="228" spans="11:12" x14ac:dyDescent="0.25">
      <c r="K228" s="112"/>
      <c r="L228" s="112"/>
    </row>
    <row r="229" spans="11:12" x14ac:dyDescent="0.25">
      <c r="K229" s="112"/>
      <c r="L229" s="112"/>
    </row>
    <row r="230" spans="11:12" x14ac:dyDescent="0.25">
      <c r="K230" s="112"/>
      <c r="L230" s="112"/>
    </row>
    <row r="231" spans="11:12" x14ac:dyDescent="0.25">
      <c r="K231" s="112"/>
      <c r="L231" s="112"/>
    </row>
    <row r="232" spans="11:12" x14ac:dyDescent="0.25">
      <c r="K232" s="112"/>
      <c r="L232" s="112"/>
    </row>
    <row r="233" spans="11:12" x14ac:dyDescent="0.25">
      <c r="K233" s="112"/>
      <c r="L233" s="112"/>
    </row>
    <row r="234" spans="11:12" x14ac:dyDescent="0.25">
      <c r="K234" s="112"/>
      <c r="L234" s="112"/>
    </row>
    <row r="235" spans="11:12" x14ac:dyDescent="0.25">
      <c r="K235" s="112"/>
      <c r="L235" s="112"/>
    </row>
    <row r="236" spans="11:12" x14ac:dyDescent="0.25">
      <c r="K236" s="112"/>
      <c r="L236" s="112"/>
    </row>
    <row r="237" spans="11:12" x14ac:dyDescent="0.25">
      <c r="K237" s="112"/>
      <c r="L237" s="112"/>
    </row>
    <row r="238" spans="11:12" x14ac:dyDescent="0.25">
      <c r="K238" s="112"/>
      <c r="L238" s="112"/>
    </row>
    <row r="239" spans="11:12" x14ac:dyDescent="0.25">
      <c r="K239" s="112"/>
      <c r="L239" s="112"/>
    </row>
    <row r="240" spans="11:12" x14ac:dyDescent="0.25">
      <c r="K240" s="112"/>
      <c r="L240" s="112"/>
    </row>
    <row r="241" spans="11:12" x14ac:dyDescent="0.25">
      <c r="K241" s="112"/>
      <c r="L241" s="112"/>
    </row>
    <row r="242" spans="11:12" x14ac:dyDescent="0.25">
      <c r="K242" s="112"/>
      <c r="L242" s="112"/>
    </row>
    <row r="243" spans="11:12" x14ac:dyDescent="0.25">
      <c r="K243" s="112"/>
      <c r="L243" s="112"/>
    </row>
    <row r="244" spans="11:12" x14ac:dyDescent="0.25">
      <c r="K244" s="112"/>
      <c r="L244" s="112"/>
    </row>
    <row r="245" spans="11:12" x14ac:dyDescent="0.25">
      <c r="K245" s="112"/>
      <c r="L245" s="112"/>
    </row>
    <row r="246" spans="11:12" x14ac:dyDescent="0.25">
      <c r="K246" s="112"/>
      <c r="L246" s="112"/>
    </row>
    <row r="247" spans="11:12" x14ac:dyDescent="0.25">
      <c r="K247" s="112"/>
      <c r="L247" s="112"/>
    </row>
    <row r="248" spans="11:12" x14ac:dyDescent="0.25">
      <c r="K248" s="112"/>
      <c r="L248" s="112"/>
    </row>
    <row r="249" spans="11:12" x14ac:dyDescent="0.25">
      <c r="K249" s="112"/>
      <c r="L249" s="112"/>
    </row>
    <row r="250" spans="11:12" x14ac:dyDescent="0.25">
      <c r="K250" s="112"/>
      <c r="L250" s="112"/>
    </row>
    <row r="251" spans="11:12" x14ac:dyDescent="0.25">
      <c r="K251" s="112"/>
      <c r="L251" s="112"/>
    </row>
    <row r="252" spans="11:12" x14ac:dyDescent="0.25">
      <c r="K252" s="112"/>
      <c r="L252" s="112"/>
    </row>
    <row r="253" spans="11:12" x14ac:dyDescent="0.25">
      <c r="K253" s="112"/>
      <c r="L253" s="112"/>
    </row>
    <row r="254" spans="11:12" x14ac:dyDescent="0.25">
      <c r="K254" s="112"/>
      <c r="L254" s="112"/>
    </row>
    <row r="255" spans="11:12" x14ac:dyDescent="0.25">
      <c r="K255" s="112"/>
      <c r="L255" s="112"/>
    </row>
    <row r="256" spans="11:12" x14ac:dyDescent="0.25">
      <c r="K256" s="112"/>
      <c r="L256" s="112"/>
    </row>
    <row r="257" spans="11:12" x14ac:dyDescent="0.25">
      <c r="K257" s="112"/>
      <c r="L257" s="112"/>
    </row>
    <row r="258" spans="11:12" x14ac:dyDescent="0.25">
      <c r="K258" s="112"/>
      <c r="L258" s="112"/>
    </row>
    <row r="259" spans="11:12" x14ac:dyDescent="0.25">
      <c r="K259" s="112"/>
      <c r="L259" s="112"/>
    </row>
    <row r="260" spans="11:12" x14ac:dyDescent="0.25">
      <c r="K260" s="112"/>
      <c r="L260" s="112"/>
    </row>
    <row r="261" spans="11:12" x14ac:dyDescent="0.25">
      <c r="K261" s="112"/>
      <c r="L261" s="112"/>
    </row>
    <row r="262" spans="11:12" x14ac:dyDescent="0.25">
      <c r="K262" s="112"/>
      <c r="L262" s="112"/>
    </row>
    <row r="263" spans="11:12" x14ac:dyDescent="0.25">
      <c r="K263" s="112"/>
      <c r="L263" s="112"/>
    </row>
    <row r="264" spans="11:12" x14ac:dyDescent="0.25">
      <c r="K264" s="112"/>
      <c r="L264" s="112"/>
    </row>
    <row r="265" spans="11:12" x14ac:dyDescent="0.25">
      <c r="K265" s="112"/>
      <c r="L265" s="112"/>
    </row>
    <row r="266" spans="11:12" x14ac:dyDescent="0.25">
      <c r="K266" s="112"/>
      <c r="L266" s="112"/>
    </row>
    <row r="267" spans="11:12" x14ac:dyDescent="0.25">
      <c r="K267" s="112"/>
      <c r="L267" s="112"/>
    </row>
    <row r="268" spans="11:12" x14ac:dyDescent="0.25">
      <c r="K268" s="112"/>
      <c r="L268" s="112"/>
    </row>
    <row r="269" spans="11:12" x14ac:dyDescent="0.25">
      <c r="K269" s="112"/>
      <c r="L269" s="112"/>
    </row>
    <row r="270" spans="11:12" x14ac:dyDescent="0.25">
      <c r="K270" s="112"/>
      <c r="L270" s="112"/>
    </row>
  </sheetData>
  <sheetProtection algorithmName="SHA-512" hashValue="MOB9ZzVJ1F0+fi3I/KczmsA+x387WL8//rD0SGfhw+Uo5ztvtiYjnFLEtOaB5Lt/NdJxk87RJU5hFPC6O6F/eQ==" saltValue="g0/K5Zqmi3W4R0J8Sc6Jdw==" spinCount="100000" sheet="1" objects="1" scenarios="1"/>
  <mergeCells count="8">
    <mergeCell ref="E5:I5"/>
    <mergeCell ref="E37:I37"/>
    <mergeCell ref="B10:C10"/>
    <mergeCell ref="K10:L10"/>
    <mergeCell ref="E23:I23"/>
    <mergeCell ref="B16:C21"/>
    <mergeCell ref="B22:C22"/>
    <mergeCell ref="B23:C26"/>
  </mergeCells>
  <conditionalFormatting sqref="B16:C21">
    <cfRule type="containsText" dxfId="1" priority="2" operator="containsText" text="política">
      <formula>NOT(ISERROR(SEARCH("política",B16)))</formula>
    </cfRule>
  </conditionalFormatting>
  <conditionalFormatting sqref="E5:I5">
    <cfRule type="containsText" dxfId="0" priority="1" operator="containsText" text="EXCLUSIVA">
      <formula>NOT(ISERROR(SEARCH("EXCLUSIVA",E5)))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63696A-FFAD-4901-BB9B-4281B67A7AD9}">
          <x14:formula1>
            <xm:f>'simulador pelo Saldo'!$B$32:$B$34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6D93-EE12-44CE-981D-FDDD23AF698D}">
  <sheetPr>
    <pageSetUpPr fitToPage="1"/>
  </sheetPr>
  <dimension ref="A1:Y138"/>
  <sheetViews>
    <sheetView showGridLines="0" workbookViewId="0">
      <selection activeCell="D41" sqref="D41"/>
    </sheetView>
  </sheetViews>
  <sheetFormatPr defaultColWidth="9.28515625" defaultRowHeight="15" x14ac:dyDescent="0.25"/>
  <cols>
    <col min="1" max="1" width="20.28515625" bestFit="1" customWidth="1"/>
    <col min="2" max="2" width="10.7109375" bestFit="1" customWidth="1"/>
    <col min="3" max="3" width="13.5703125" customWidth="1"/>
    <col min="4" max="4" width="11.28515625" customWidth="1"/>
    <col min="5" max="5" width="10.5703125" customWidth="1"/>
    <col min="6" max="6" width="16.42578125" customWidth="1"/>
    <col min="7" max="7" width="22.7109375" customWidth="1"/>
    <col min="8" max="8" width="10.5703125" customWidth="1"/>
    <col min="9" max="9" width="6.28515625" customWidth="1"/>
    <col min="10" max="10" width="10.5703125" customWidth="1"/>
    <col min="11" max="11" width="12.28515625" customWidth="1"/>
    <col min="12" max="12" width="9.42578125" customWidth="1"/>
    <col min="13" max="13" width="9.28515625" customWidth="1"/>
    <col min="14" max="14" width="22.7109375" customWidth="1"/>
    <col min="15" max="15" width="11.85546875" customWidth="1"/>
    <col min="16" max="16" width="3.7109375" customWidth="1"/>
    <col min="17" max="18" width="16.7109375" customWidth="1"/>
    <col min="19" max="19" width="43.85546875" style="44" customWidth="1"/>
    <col min="20" max="20" width="10.5703125" style="44" bestFit="1" customWidth="1"/>
  </cols>
  <sheetData>
    <row r="1" spans="1:21" ht="15" customHeight="1" x14ac:dyDescent="0.25">
      <c r="A1" s="33" t="s">
        <v>10</v>
      </c>
      <c r="B1" s="56">
        <f ca="1">'FGTS - entrada de dados'!C8</f>
        <v>45372</v>
      </c>
    </row>
    <row r="2" spans="1:21" ht="15" customHeight="1" x14ac:dyDescent="0.25">
      <c r="A2" s="33" t="s">
        <v>130</v>
      </c>
      <c r="B2" s="56">
        <f>'FGTS - entrada de dados'!C11</f>
        <v>34494</v>
      </c>
    </row>
    <row r="3" spans="1:21" ht="15" customHeight="1" x14ac:dyDescent="0.25">
      <c r="A3" s="33" t="s">
        <v>68</v>
      </c>
      <c r="B3" s="53">
        <f>'FGTS - entrada de dados'!C12</f>
        <v>387</v>
      </c>
    </row>
    <row r="4" spans="1:21" ht="15" customHeight="1" x14ac:dyDescent="0.25">
      <c r="A4" s="33" t="s">
        <v>131</v>
      </c>
      <c r="B4" s="90">
        <f>'FGTS - entrada de dados'!C13</f>
        <v>10</v>
      </c>
    </row>
    <row r="5" spans="1:21" ht="15" customHeight="1" x14ac:dyDescent="0.25">
      <c r="B5" s="88"/>
    </row>
    <row r="6" spans="1:21" ht="15" customHeight="1" x14ac:dyDescent="0.25"/>
    <row r="7" spans="1:21" s="6" customFormat="1" ht="15" customHeight="1" x14ac:dyDescent="0.25">
      <c r="A7" s="27" t="s">
        <v>12</v>
      </c>
      <c r="B7" s="27"/>
      <c r="C7" s="28" t="s">
        <v>8</v>
      </c>
      <c r="D7" s="27" t="s">
        <v>9</v>
      </c>
      <c r="E7" s="29" t="s">
        <v>0</v>
      </c>
      <c r="F7" s="29" t="s">
        <v>1</v>
      </c>
      <c r="G7" s="30" t="s">
        <v>81</v>
      </c>
      <c r="H7" s="29" t="s">
        <v>82</v>
      </c>
      <c r="I7" s="29" t="s">
        <v>4</v>
      </c>
      <c r="J7" s="29" t="s">
        <v>11</v>
      </c>
      <c r="K7" s="29" t="s">
        <v>6</v>
      </c>
      <c r="L7" s="29" t="s">
        <v>7</v>
      </c>
      <c r="M7" s="29" t="s">
        <v>87</v>
      </c>
      <c r="N7" s="31" t="s">
        <v>5</v>
      </c>
      <c r="S7" s="45"/>
      <c r="T7" s="45"/>
    </row>
    <row r="8" spans="1:21" ht="15" customHeight="1" x14ac:dyDescent="0.25">
      <c r="A8" s="32">
        <f ca="1">IF($B$3&lt;$B$21,"",IF($B$4&gt;$B$20,"",IF(B2=0,"",IF(B3=0,"",IF(B4=0,"",IF(B4&gt;12,"",IF(MONTH(B1)&gt;=MONTH(B2),DATE(YEAR(B1)+1,MONTH(B2),1),DATE(YEAR(B1),MONTH(B2),1))))))))</f>
        <v>45444</v>
      </c>
      <c r="B8" s="33">
        <f>IF($B$3&lt;$B$21,"",IF($B$4&gt;$B$20,"",IF(B4=0,"",IF(B4&gt;12,"",1))))</f>
        <v>1</v>
      </c>
      <c r="C8" s="89">
        <f>IF($B$4&gt;$B$20,"",IF(B3&lt;$B$21,"",IF(B2=0,"",IF(B4=0,"",IF(B4&gt;12,"",B3)))))</f>
        <v>387</v>
      </c>
      <c r="D8" s="35">
        <f t="shared" ref="D8" si="0">IF(C8="","",IF(C8&gt;20000,5%,IF(C8&gt;15000,10%,IF(C8&gt;10000,15%,IF(C8&gt;5000,20%,IF(C8&gt;1000,30%,IF(C8&gt;500,40%,50%)))))))</f>
        <v>0.5</v>
      </c>
      <c r="E8" s="34">
        <f>IF(D8="","",C8*D8)</f>
        <v>193.5</v>
      </c>
      <c r="F8" s="34">
        <f>IF(C8="","",IF(C8&gt;20000,2900,IF(C8&gt;15000,1900,IF(C8&gt;10000,1150,IF(C8&gt;5000,650,IF(C8&gt;1000,150,IF(C8&gt;500,50,0)))))))</f>
        <v>0</v>
      </c>
      <c r="G8" s="34">
        <f>IF($B$4&gt;$B$20,"",IF(C8="","",F8+E8))</f>
        <v>193.5</v>
      </c>
      <c r="H8" s="36">
        <f>IF(C8="","",C8-G8)</f>
        <v>193.5</v>
      </c>
      <c r="I8" s="33">
        <f ca="1">IF(A8="","",IF(B3=0,"",A8-$B$1))</f>
        <v>72</v>
      </c>
      <c r="J8" s="34">
        <f ca="1">IF(A8="","",IF(B3=0,"",IF(B4=0,"",G8/($C$23^I8))))</f>
        <v>185.43371319648693</v>
      </c>
      <c r="K8" s="36">
        <f ca="1">IF(A8="","",IF(B3=0,"",J8*$B$25))</f>
        <v>0.7046481101466503</v>
      </c>
      <c r="L8" s="36">
        <f ca="1">IF(A8="","",IF(B3=0,"",J8*(IF(I8&lt;365,I8*$B$26,365*$B$26))))</f>
        <v>1.0948006427120589</v>
      </c>
      <c r="M8" s="36">
        <f ca="1">IF(A8="","",IF(B3=0,"",K8+L8))</f>
        <v>1.7994487528587091</v>
      </c>
      <c r="N8" s="36">
        <f ca="1">IF(A8="","",IF(B3=0,"",J8-K8-L8))</f>
        <v>183.63426444362824</v>
      </c>
      <c r="O8" s="3"/>
      <c r="P8" s="3"/>
      <c r="U8" s="3"/>
    </row>
    <row r="9" spans="1:21" ht="15" customHeight="1" x14ac:dyDescent="0.25">
      <c r="A9" s="32">
        <f ca="1">IF(B9="","",DATE(YEAR(A8)+1,MONTH(A8),DAY(A8)))</f>
        <v>45809</v>
      </c>
      <c r="B9" s="33">
        <f>IF(B8="","",IF(B8+1&gt;$B$4,"",B8+1))</f>
        <v>2</v>
      </c>
      <c r="C9" s="34">
        <f>IF(B9="","",IF(H8&lt;0.01,"",H8))</f>
        <v>193.5</v>
      </c>
      <c r="D9" s="35">
        <f t="shared" ref="D9:D13" si="1">IF(C9="","",IF(C9&gt;20000,5%,IF(C9&gt;15000,10%,IF(C9&gt;10000,15%,IF(C9&gt;5000,20%,IF(C9&gt;1000,30%,IF(C9&gt;500,40%,50%)))))))</f>
        <v>0.5</v>
      </c>
      <c r="E9" s="34">
        <f>IF(D9="","",C9*D9)</f>
        <v>96.75</v>
      </c>
      <c r="F9" s="34">
        <f>IF(C9="","",IF(C9&gt;20000,2900,IF(C9&gt;15000,1900,IF(C9&gt;10000,1150,IF(C9&gt;5000,650,IF(C9&gt;1000,150,IF(C9&gt;500,50,0)))))))</f>
        <v>0</v>
      </c>
      <c r="G9" s="34">
        <f>IF(C9="","",F9+E9)</f>
        <v>96.75</v>
      </c>
      <c r="H9" s="36">
        <f>IF(C9="","",C9-G9)</f>
        <v>96.75</v>
      </c>
      <c r="I9" s="33">
        <f ca="1">IF(B9="","",A9-$B$1)</f>
        <v>437</v>
      </c>
      <c r="J9" s="34">
        <f t="shared" ref="J9:J17" ca="1" si="2">IF(B9="","",G9/($C$23^I9))</f>
        <v>74.715918742170373</v>
      </c>
      <c r="K9" s="36">
        <f t="shared" ref="K9:K17" ca="1" si="3">IF(B9="","",J9*$B$25)</f>
        <v>0.28392049122024743</v>
      </c>
      <c r="L9" s="36">
        <f t="shared" ref="L9:L17" ca="1" si="4">IF(B9="","",J9*(IF(I9&lt;365,I9*$B$26,365*$B$26)))</f>
        <v>2.2362474479531596</v>
      </c>
      <c r="M9" s="36">
        <f ca="1">IF(B9="","",K9+L9)</f>
        <v>2.5201679391734069</v>
      </c>
      <c r="N9" s="36">
        <f ca="1">IF(B9="","",J9-K9-L9)</f>
        <v>72.195750802996969</v>
      </c>
      <c r="O9" s="3">
        <f ca="1">N9+N8</f>
        <v>255.83001524662521</v>
      </c>
      <c r="P9" s="3"/>
    </row>
    <row r="10" spans="1:21" ht="15" customHeight="1" x14ac:dyDescent="0.25">
      <c r="A10" s="32">
        <f t="shared" ref="A10:A17" ca="1" si="5">IF(B10="","",DATE(YEAR(A9)+1,MONTH(A9),DAY(A9)))</f>
        <v>46174</v>
      </c>
      <c r="B10" s="33">
        <f>IF(B9="","",IF(B9+1&gt;$B$4,"",B9+1))</f>
        <v>3</v>
      </c>
      <c r="C10" s="34">
        <f t="shared" ref="C10:C12" si="6">IF(B10="","",IF(H9&lt;0.01,"",H9))</f>
        <v>96.75</v>
      </c>
      <c r="D10" s="35">
        <f t="shared" si="1"/>
        <v>0.5</v>
      </c>
      <c r="E10" s="34">
        <f t="shared" ref="E10:E13" si="7">IF(D10="","",C10*D10)</f>
        <v>48.375</v>
      </c>
      <c r="F10" s="34">
        <f t="shared" ref="F10:F13" si="8">IF(C10="","",IF(C10&gt;20000,2900,IF(C10&gt;15000,1900,IF(C10&gt;10000,1150,IF(C10&gt;5000,650,IF(C10&gt;1000,150,IF(C10&gt;500,50,0)))))))</f>
        <v>0</v>
      </c>
      <c r="G10" s="34">
        <f t="shared" ref="G10:G13" si="9">IF(C10="","",F10+E10)</f>
        <v>48.375</v>
      </c>
      <c r="H10" s="36">
        <f t="shared" ref="H10:H13" si="10">IF(C10="","",C10-G10)</f>
        <v>48.375</v>
      </c>
      <c r="I10" s="33">
        <f t="shared" ref="I10:I13" ca="1" si="11">IF(B10="","",A10-$B$1)</f>
        <v>802</v>
      </c>
      <c r="J10" s="34">
        <f t="shared" ca="1" si="2"/>
        <v>30.104927616756395</v>
      </c>
      <c r="K10" s="36">
        <f t="shared" ca="1" si="3"/>
        <v>0.1143987249436743</v>
      </c>
      <c r="L10" s="36">
        <f t="shared" ca="1" si="4"/>
        <v>0.90104048356951894</v>
      </c>
      <c r="M10" s="36">
        <f t="shared" ref="M10:M13" ca="1" si="12">IF(B10="","",K10+L10)</f>
        <v>1.0154392085131931</v>
      </c>
      <c r="N10" s="36">
        <f t="shared" ref="N10:N13" ca="1" si="13">IF(B10="","",J10-K10-L10)</f>
        <v>29.089488408243202</v>
      </c>
      <c r="O10" s="3">
        <f t="shared" ref="O10:O17" ca="1" si="14">N10+O9</f>
        <v>284.91950365486844</v>
      </c>
      <c r="P10" s="3"/>
    </row>
    <row r="11" spans="1:21" ht="15" customHeight="1" x14ac:dyDescent="0.25">
      <c r="A11" s="32">
        <f t="shared" ca="1" si="5"/>
        <v>46539</v>
      </c>
      <c r="B11" s="33">
        <f t="shared" ref="B11:B17" si="15">IF(B10="","",IF(B10+1&gt;$B$4,"",B10+1))</f>
        <v>4</v>
      </c>
      <c r="C11" s="34">
        <f t="shared" si="6"/>
        <v>48.375</v>
      </c>
      <c r="D11" s="35">
        <f t="shared" si="1"/>
        <v>0.5</v>
      </c>
      <c r="E11" s="34">
        <f t="shared" si="7"/>
        <v>24.1875</v>
      </c>
      <c r="F11" s="34">
        <f t="shared" si="8"/>
        <v>0</v>
      </c>
      <c r="G11" s="34">
        <f t="shared" si="9"/>
        <v>24.1875</v>
      </c>
      <c r="H11" s="36">
        <f t="shared" si="10"/>
        <v>24.1875</v>
      </c>
      <c r="I11" s="33">
        <f t="shared" ca="1" si="11"/>
        <v>1167</v>
      </c>
      <c r="J11" s="34">
        <f t="shared" ca="1" si="2"/>
        <v>12.130034429980366</v>
      </c>
      <c r="K11" s="36">
        <f t="shared" ca="1" si="3"/>
        <v>4.6094130833925391E-2</v>
      </c>
      <c r="L11" s="36">
        <f t="shared" ca="1" si="4"/>
        <v>0.36305193048931239</v>
      </c>
      <c r="M11" s="36">
        <f t="shared" ca="1" si="12"/>
        <v>0.40914606132323778</v>
      </c>
      <c r="N11" s="36">
        <f t="shared" ca="1" si="13"/>
        <v>11.720888368657128</v>
      </c>
      <c r="O11" s="3">
        <f t="shared" ca="1" si="14"/>
        <v>296.64039202352558</v>
      </c>
      <c r="P11" s="3"/>
    </row>
    <row r="12" spans="1:21" ht="15" customHeight="1" x14ac:dyDescent="0.25">
      <c r="A12" s="32">
        <f t="shared" ca="1" si="5"/>
        <v>46905</v>
      </c>
      <c r="B12" s="33">
        <f t="shared" si="15"/>
        <v>5</v>
      </c>
      <c r="C12" s="34">
        <f t="shared" si="6"/>
        <v>24.1875</v>
      </c>
      <c r="D12" s="35">
        <f t="shared" si="1"/>
        <v>0.5</v>
      </c>
      <c r="E12" s="34">
        <f t="shared" si="7"/>
        <v>12.09375</v>
      </c>
      <c r="F12" s="34">
        <f t="shared" si="8"/>
        <v>0</v>
      </c>
      <c r="G12" s="34">
        <f t="shared" si="9"/>
        <v>12.09375</v>
      </c>
      <c r="H12" s="36">
        <f t="shared" si="10"/>
        <v>12.09375</v>
      </c>
      <c r="I12" s="33">
        <f t="shared" ca="1" si="11"/>
        <v>1533</v>
      </c>
      <c r="J12" s="34">
        <f t="shared" ca="1" si="2"/>
        <v>4.8846071704639229</v>
      </c>
      <c r="K12" s="36">
        <f t="shared" ca="1" si="3"/>
        <v>1.8561507247762905E-2</v>
      </c>
      <c r="L12" s="36">
        <f t="shared" ca="1" si="4"/>
        <v>0.14619629261198522</v>
      </c>
      <c r="M12" s="36">
        <f t="shared" ca="1" si="12"/>
        <v>0.16475779985974812</v>
      </c>
      <c r="N12" s="36">
        <f t="shared" ca="1" si="13"/>
        <v>4.7198493706041749</v>
      </c>
      <c r="O12" s="3">
        <f t="shared" ca="1" si="14"/>
        <v>301.36024139412973</v>
      </c>
      <c r="P12" s="3"/>
    </row>
    <row r="13" spans="1:21" ht="15" customHeight="1" thickBot="1" x14ac:dyDescent="0.3">
      <c r="A13" s="134">
        <f t="shared" ca="1" si="5"/>
        <v>47270</v>
      </c>
      <c r="B13" s="135">
        <f t="shared" si="15"/>
        <v>6</v>
      </c>
      <c r="C13" s="136">
        <f>IF(B13="","",IF(H12&lt;0.01,"",H12))</f>
        <v>12.09375</v>
      </c>
      <c r="D13" s="137">
        <f t="shared" si="1"/>
        <v>0.5</v>
      </c>
      <c r="E13" s="136">
        <f t="shared" si="7"/>
        <v>6.046875</v>
      </c>
      <c r="F13" s="136">
        <f t="shared" si="8"/>
        <v>0</v>
      </c>
      <c r="G13" s="136">
        <f t="shared" si="9"/>
        <v>6.046875</v>
      </c>
      <c r="H13" s="138">
        <f t="shared" si="10"/>
        <v>6.046875</v>
      </c>
      <c r="I13" s="135">
        <f t="shared" ca="1" si="11"/>
        <v>1898</v>
      </c>
      <c r="J13" s="136">
        <f t="shared" ca="1" si="2"/>
        <v>1.9681313939342462</v>
      </c>
      <c r="K13" s="138">
        <f t="shared" ca="1" si="3"/>
        <v>7.4788992969501353E-3</v>
      </c>
      <c r="L13" s="138">
        <f t="shared" ca="1" si="4"/>
        <v>5.8906172620451995E-2</v>
      </c>
      <c r="M13" s="138">
        <f t="shared" ca="1" si="12"/>
        <v>6.638507191740213E-2</v>
      </c>
      <c r="N13" s="138">
        <f t="shared" ca="1" si="13"/>
        <v>1.901746322016844</v>
      </c>
      <c r="O13" s="3">
        <f t="shared" ca="1" si="14"/>
        <v>303.26198771614656</v>
      </c>
      <c r="P13" s="3"/>
      <c r="Q13" s="146"/>
      <c r="R13" s="146"/>
    </row>
    <row r="14" spans="1:21" ht="15" customHeight="1" thickBot="1" x14ac:dyDescent="0.3">
      <c r="A14" s="134">
        <f t="shared" ca="1" si="5"/>
        <v>47635</v>
      </c>
      <c r="B14" s="135">
        <f t="shared" si="15"/>
        <v>7</v>
      </c>
      <c r="C14" s="136">
        <f t="shared" ref="C14:C17" si="16">IF(B14="","",IF(H13&lt;0.01,"",H13))</f>
        <v>6.046875</v>
      </c>
      <c r="D14" s="137">
        <f t="shared" ref="D14:D17" si="17">IF(C14="","",IF(C14&gt;20000,5%,IF(C14&gt;15000,10%,IF(C14&gt;10000,15%,IF(C14&gt;5000,20%,IF(C14&gt;1000,30%,IF(C14&gt;500,40%,50%)))))))</f>
        <v>0.5</v>
      </c>
      <c r="E14" s="136">
        <f t="shared" ref="E14:E17" si="18">IF(D14="","",C14*D14)</f>
        <v>3.0234375</v>
      </c>
      <c r="F14" s="136">
        <f t="shared" ref="F14:F17" si="19">IF(C14="","",IF(C14&gt;20000,2900,IF(C14&gt;15000,1900,IF(C14&gt;10000,1150,IF(C14&gt;5000,650,IF(C14&gt;1000,150,IF(C14&gt;500,50,0)))))))</f>
        <v>0</v>
      </c>
      <c r="G14" s="136">
        <f t="shared" ref="G14:G17" si="20">IF(C14="","",F14+E14)</f>
        <v>3.0234375</v>
      </c>
      <c r="H14" s="138">
        <f t="shared" ref="H14:H17" si="21">IF(C14="","",C14-G14)</f>
        <v>3.0234375</v>
      </c>
      <c r="I14" s="135">
        <f t="shared" ref="I14:I17" ca="1" si="22">IF(B14="","",A14-$B$1)</f>
        <v>2263</v>
      </c>
      <c r="J14" s="136">
        <f t="shared" ca="1" si="2"/>
        <v>0.79300976488180219</v>
      </c>
      <c r="K14" s="138">
        <f t="shared" ca="1" si="3"/>
        <v>3.0134371065508483E-3</v>
      </c>
      <c r="L14" s="138">
        <f t="shared" ca="1" si="4"/>
        <v>2.3734782262912341E-2</v>
      </c>
      <c r="M14" s="138">
        <f t="shared" ref="M14:M17" ca="1" si="23">IF(B14="","",K14+L14)</f>
        <v>2.6748219369463189E-2</v>
      </c>
      <c r="N14" s="138">
        <f t="shared" ref="N14:N17" ca="1" si="24">IF(B14="","",J14-K14-L14)</f>
        <v>0.76626154551233894</v>
      </c>
      <c r="O14" s="3">
        <f t="shared" ca="1" si="14"/>
        <v>304.02824926165891</v>
      </c>
      <c r="P14" s="3"/>
      <c r="Q14" s="143" t="s">
        <v>148</v>
      </c>
      <c r="R14" s="144" t="s">
        <v>149</v>
      </c>
    </row>
    <row r="15" spans="1:21" ht="15" customHeight="1" x14ac:dyDescent="0.25">
      <c r="A15" s="134">
        <f t="shared" ca="1" si="5"/>
        <v>48000</v>
      </c>
      <c r="B15" s="135">
        <f t="shared" si="15"/>
        <v>8</v>
      </c>
      <c r="C15" s="136">
        <f t="shared" si="16"/>
        <v>3.0234375</v>
      </c>
      <c r="D15" s="137">
        <f t="shared" si="17"/>
        <v>0.5</v>
      </c>
      <c r="E15" s="136">
        <f t="shared" si="18"/>
        <v>1.51171875</v>
      </c>
      <c r="F15" s="136">
        <f t="shared" si="19"/>
        <v>0</v>
      </c>
      <c r="G15" s="136">
        <f t="shared" si="20"/>
        <v>1.51171875</v>
      </c>
      <c r="H15" s="138">
        <f t="shared" si="21"/>
        <v>1.51171875</v>
      </c>
      <c r="I15" s="135">
        <f t="shared" ca="1" si="22"/>
        <v>2628</v>
      </c>
      <c r="J15" s="136">
        <f t="shared" ca="1" si="2"/>
        <v>0.31952362994464845</v>
      </c>
      <c r="K15" s="138">
        <f t="shared" ca="1" si="3"/>
        <v>1.2141897937896641E-3</v>
      </c>
      <c r="L15" s="138">
        <f t="shared" ca="1" si="4"/>
        <v>9.5633422442433294E-3</v>
      </c>
      <c r="M15" s="138">
        <f t="shared" ca="1" si="23"/>
        <v>1.0777532038032993E-2</v>
      </c>
      <c r="N15" s="138">
        <f t="shared" ca="1" si="24"/>
        <v>0.30874609790661545</v>
      </c>
      <c r="O15" s="3">
        <f t="shared" ca="1" si="14"/>
        <v>304.33699535956555</v>
      </c>
      <c r="P15" s="3"/>
      <c r="Q15" s="173">
        <f ca="1">SUM(N8:N17)</f>
        <v>304.51141830155677</v>
      </c>
      <c r="R15" s="176">
        <f ca="1">Q15*6%</f>
        <v>18.270685098093406</v>
      </c>
    </row>
    <row r="16" spans="1:21" ht="15" customHeight="1" x14ac:dyDescent="0.25">
      <c r="A16" s="134">
        <f t="shared" ca="1" si="5"/>
        <v>48366</v>
      </c>
      <c r="B16" s="135">
        <f t="shared" si="15"/>
        <v>9</v>
      </c>
      <c r="C16" s="136">
        <f t="shared" si="16"/>
        <v>1.51171875</v>
      </c>
      <c r="D16" s="137">
        <f t="shared" si="17"/>
        <v>0.5</v>
      </c>
      <c r="E16" s="136">
        <f t="shared" si="18"/>
        <v>0.755859375</v>
      </c>
      <c r="F16" s="136">
        <f t="shared" si="19"/>
        <v>0</v>
      </c>
      <c r="G16" s="136">
        <f t="shared" si="20"/>
        <v>0.755859375</v>
      </c>
      <c r="H16" s="138">
        <f t="shared" si="21"/>
        <v>0.755859375</v>
      </c>
      <c r="I16" s="135">
        <f t="shared" ca="1" si="22"/>
        <v>2994</v>
      </c>
      <c r="J16" s="136">
        <f t="shared" ca="1" si="2"/>
        <v>0.12866801186505922</v>
      </c>
      <c r="K16" s="138">
        <f t="shared" ca="1" si="3"/>
        <v>4.8893844508722507E-4</v>
      </c>
      <c r="L16" s="138">
        <f t="shared" ca="1" si="4"/>
        <v>3.8510335951212225E-3</v>
      </c>
      <c r="M16" s="138">
        <f t="shared" ca="1" si="23"/>
        <v>4.3399720402084478E-3</v>
      </c>
      <c r="N16" s="138">
        <f t="shared" ca="1" si="24"/>
        <v>0.12432803982485079</v>
      </c>
      <c r="O16" s="3">
        <f t="shared" ca="1" si="14"/>
        <v>304.46132339939038</v>
      </c>
      <c r="P16" s="3"/>
      <c r="Q16" s="174"/>
      <c r="R16" s="177"/>
    </row>
    <row r="17" spans="1:25" ht="15" customHeight="1" thickBot="1" x14ac:dyDescent="0.3">
      <c r="A17" s="134">
        <f t="shared" ca="1" si="5"/>
        <v>48731</v>
      </c>
      <c r="B17" s="135">
        <f t="shared" si="15"/>
        <v>10</v>
      </c>
      <c r="C17" s="136">
        <f t="shared" si="16"/>
        <v>0.755859375</v>
      </c>
      <c r="D17" s="137">
        <f t="shared" si="17"/>
        <v>0.5</v>
      </c>
      <c r="E17" s="136">
        <f t="shared" si="18"/>
        <v>0.3779296875</v>
      </c>
      <c r="F17" s="136">
        <f t="shared" si="19"/>
        <v>0</v>
      </c>
      <c r="G17" s="136">
        <f t="shared" si="20"/>
        <v>0.3779296875</v>
      </c>
      <c r="H17" s="138">
        <f t="shared" si="21"/>
        <v>0.3779296875</v>
      </c>
      <c r="I17" s="135">
        <f t="shared" ca="1" si="22"/>
        <v>3359</v>
      </c>
      <c r="J17" s="136">
        <f t="shared" ca="1" si="2"/>
        <v>5.1843586333407389E-2</v>
      </c>
      <c r="K17" s="138">
        <f t="shared" ca="1" si="3"/>
        <v>1.9700562806694807E-4</v>
      </c>
      <c r="L17" s="138">
        <f t="shared" ca="1" si="4"/>
        <v>1.5516785389588833E-3</v>
      </c>
      <c r="M17" s="138">
        <f t="shared" ca="1" si="23"/>
        <v>1.7486841670258314E-3</v>
      </c>
      <c r="N17" s="138">
        <f t="shared" ca="1" si="24"/>
        <v>5.0094902166381558E-2</v>
      </c>
      <c r="O17" s="3">
        <f t="shared" ca="1" si="14"/>
        <v>304.51141830155677</v>
      </c>
      <c r="P17" s="3"/>
      <c r="Q17" s="175"/>
      <c r="R17" s="178"/>
    </row>
    <row r="18" spans="1:25" s="7" customFormat="1" ht="15" customHeight="1" x14ac:dyDescent="0.25">
      <c r="A18" s="139"/>
      <c r="B18" s="139">
        <f>MAX(B8:B17)</f>
        <v>10</v>
      </c>
      <c r="C18" s="140"/>
      <c r="D18" s="141"/>
      <c r="E18" s="140">
        <f>SUM(E8:E17)</f>
        <v>386.6220703125</v>
      </c>
      <c r="F18" s="140">
        <f>SUM(F8:F17)</f>
        <v>0</v>
      </c>
      <c r="G18" s="140">
        <f>SUM(G8:G17)</f>
        <v>386.6220703125</v>
      </c>
      <c r="H18" s="140"/>
      <c r="I18" s="139"/>
      <c r="J18" s="140">
        <f ca="1">SUM(J8:J17)</f>
        <v>310.53037754281712</v>
      </c>
      <c r="K18" s="142">
        <f ca="1">SUM(K8:K17)</f>
        <v>1.180015434662705</v>
      </c>
      <c r="L18" s="142">
        <f ca="1">SUM(L8:L17)</f>
        <v>4.8389438065977233</v>
      </c>
      <c r="M18" s="142">
        <f ca="1">SUM(M8:M17)</f>
        <v>6.0189592412604283</v>
      </c>
      <c r="N18" s="142">
        <f t="shared" ref="N18" ca="1" si="25">J18-K18-L18</f>
        <v>304.51141830155666</v>
      </c>
      <c r="O18" s="48"/>
      <c r="P18" s="48"/>
      <c r="S18" s="46"/>
      <c r="T18" s="46"/>
    </row>
    <row r="19" spans="1:25" s="7" customFormat="1" ht="15" customHeight="1" x14ac:dyDescent="0.25">
      <c r="C19" s="148"/>
      <c r="D19" s="149"/>
      <c r="E19" s="148"/>
      <c r="F19" s="148"/>
      <c r="G19" s="148"/>
      <c r="H19" s="148"/>
      <c r="J19" s="148"/>
      <c r="K19" s="48"/>
      <c r="L19" s="48"/>
      <c r="M19" s="48"/>
      <c r="N19" s="48"/>
      <c r="O19" s="48"/>
      <c r="P19" s="48"/>
      <c r="S19" s="46"/>
      <c r="T19" s="46"/>
    </row>
    <row r="20" spans="1:25" ht="15" customHeight="1" x14ac:dyDescent="0.25">
      <c r="A20" s="33" t="s">
        <v>150</v>
      </c>
      <c r="B20" s="33">
        <v>10</v>
      </c>
      <c r="C20" s="1"/>
      <c r="D20" s="2"/>
      <c r="E20" s="1"/>
      <c r="F20" s="1"/>
      <c r="G20" s="1"/>
      <c r="H20" s="3"/>
    </row>
    <row r="21" spans="1:25" ht="15" customHeight="1" x14ac:dyDescent="0.25">
      <c r="A21" s="33" t="s">
        <v>151</v>
      </c>
      <c r="B21" s="36">
        <v>100</v>
      </c>
      <c r="C21" s="151"/>
      <c r="D21" s="2"/>
      <c r="E21" s="151"/>
      <c r="F21" s="151"/>
      <c r="G21" s="151"/>
      <c r="H21" s="3"/>
      <c r="S21" s="152"/>
      <c r="T21" s="152"/>
    </row>
    <row r="22" spans="1:25" ht="15" customHeight="1" x14ac:dyDescent="0.25">
      <c r="C22" s="151"/>
      <c r="D22" s="2"/>
      <c r="E22" s="151"/>
      <c r="F22" s="151"/>
      <c r="G22" s="151"/>
      <c r="H22" s="164"/>
      <c r="S22" s="152"/>
      <c r="T22" s="152"/>
    </row>
    <row r="23" spans="1:25" ht="15" customHeight="1" x14ac:dyDescent="0.25">
      <c r="A23" s="33" t="s">
        <v>85</v>
      </c>
      <c r="B23" s="145">
        <f>IF('FGTS - entrada de dados'!C14="SIM",1.5%,1.79%)</f>
        <v>1.7899999999999999E-2</v>
      </c>
      <c r="C23" s="150">
        <f>(1+B23)^(1/30)</f>
        <v>1.0005915642877168</v>
      </c>
      <c r="G23" s="3">
        <f ca="1">$N$18</f>
        <v>304.51141830155666</v>
      </c>
      <c r="H23">
        <f ca="1">IF($G23&lt;100,0,IF($G23&lt;300,30,IF($G23&lt;900,60,IF($G23&lt;1000000,90))))</f>
        <v>60</v>
      </c>
      <c r="J23" s="3"/>
      <c r="L23" s="3"/>
      <c r="M23" s="3"/>
    </row>
    <row r="24" spans="1:25" ht="15" customHeight="1" x14ac:dyDescent="0.25">
      <c r="A24" s="33" t="s">
        <v>86</v>
      </c>
      <c r="B24" s="42">
        <f ca="1">IFERROR(H36,"")</f>
        <v>0.23730000000000001</v>
      </c>
      <c r="C24" s="1"/>
      <c r="D24" s="2"/>
      <c r="E24" s="1"/>
      <c r="F24" s="1"/>
      <c r="G24" s="3"/>
      <c r="I24" s="3"/>
      <c r="O24" s="8"/>
      <c r="P24" s="8"/>
    </row>
    <row r="25" spans="1:25" ht="15" customHeight="1" x14ac:dyDescent="0.25">
      <c r="A25" s="33" t="s">
        <v>13</v>
      </c>
      <c r="B25" s="41">
        <v>3.8E-3</v>
      </c>
      <c r="C25" s="1"/>
      <c r="D25" s="2"/>
      <c r="E25" s="1"/>
      <c r="F25" s="1"/>
      <c r="G25" s="3"/>
    </row>
    <row r="26" spans="1:25" ht="15" customHeight="1" x14ac:dyDescent="0.25">
      <c r="A26" s="33" t="s">
        <v>14</v>
      </c>
      <c r="B26" s="108">
        <v>8.2000000000000001E-5</v>
      </c>
      <c r="C26" s="1"/>
      <c r="D26" s="2"/>
      <c r="E26" s="1"/>
      <c r="F26" s="1"/>
      <c r="G26" s="1"/>
      <c r="H26" s="3"/>
    </row>
    <row r="27" spans="1:25" ht="15" customHeight="1" x14ac:dyDescent="0.25">
      <c r="A27" s="33" t="s">
        <v>15</v>
      </c>
      <c r="B27" s="36">
        <f ca="1">K18+L18</f>
        <v>6.0189592412604283</v>
      </c>
      <c r="C27" s="1"/>
      <c r="D27" s="2"/>
      <c r="E27" s="1"/>
      <c r="F27" s="1"/>
      <c r="G27" s="1"/>
      <c r="H27" s="3"/>
    </row>
    <row r="28" spans="1:25" ht="15" customHeight="1" x14ac:dyDescent="0.25">
      <c r="A28" s="33" t="s">
        <v>16</v>
      </c>
      <c r="B28" s="36">
        <f ca="1">G18-K18-L18-N18</f>
        <v>76.091692769682879</v>
      </c>
      <c r="C28" s="1"/>
      <c r="D28" s="2"/>
      <c r="E28" s="1"/>
      <c r="F28" s="1"/>
      <c r="G28" s="1"/>
      <c r="H28" s="3"/>
    </row>
    <row r="29" spans="1:25" ht="15" customHeight="1" x14ac:dyDescent="0.25">
      <c r="A29" s="33" t="s">
        <v>83</v>
      </c>
      <c r="B29" s="41">
        <f ca="1">C36</f>
        <v>4.593693543040045E-2</v>
      </c>
      <c r="C29" s="1"/>
      <c r="D29" s="2"/>
      <c r="E29" s="1"/>
      <c r="F29" s="1"/>
      <c r="G29" s="1"/>
      <c r="H29" s="3"/>
    </row>
    <row r="30" spans="1:25" ht="15" customHeight="1" x14ac:dyDescent="0.25">
      <c r="A30" s="33" t="s">
        <v>84</v>
      </c>
      <c r="B30" s="41">
        <f ca="1">IFERROR(D36,"")</f>
        <v>0.72709999999999997</v>
      </c>
      <c r="C30" s="1"/>
      <c r="D30" s="2"/>
      <c r="E30" s="1"/>
      <c r="F30" s="1"/>
      <c r="G30" s="1"/>
      <c r="H30" s="3"/>
      <c r="N30" s="87"/>
      <c r="U30" s="9"/>
      <c r="V30" s="9"/>
      <c r="W30" s="9"/>
      <c r="X30" s="9"/>
      <c r="Y30" s="9"/>
    </row>
    <row r="31" spans="1:25" ht="15" customHeight="1" x14ac:dyDescent="0.25">
      <c r="A31" s="160" t="s">
        <v>159</v>
      </c>
      <c r="B31" s="36">
        <f ca="1">H23</f>
        <v>60</v>
      </c>
      <c r="C31" s="1"/>
      <c r="D31" s="2"/>
      <c r="E31" s="1"/>
      <c r="F31" s="1"/>
      <c r="G31" s="1"/>
      <c r="H31" s="3"/>
      <c r="N31" s="87"/>
      <c r="U31" s="9"/>
      <c r="V31" s="9"/>
      <c r="W31" s="9"/>
      <c r="X31" s="9"/>
      <c r="Y31" s="9"/>
    </row>
    <row r="32" spans="1:25" ht="15" customHeight="1" x14ac:dyDescent="0.25">
      <c r="A32" s="171" t="s">
        <v>157</v>
      </c>
      <c r="B32" s="3"/>
      <c r="C32" s="1"/>
      <c r="D32" s="2"/>
      <c r="E32" s="1"/>
      <c r="F32" s="1"/>
      <c r="G32" s="1"/>
      <c r="H32" s="3"/>
      <c r="N32" s="87"/>
    </row>
    <row r="33" spans="1:20" ht="15" customHeight="1" x14ac:dyDescent="0.25">
      <c r="A33" s="172"/>
      <c r="B33" s="3" t="s">
        <v>155</v>
      </c>
      <c r="C33" s="1"/>
      <c r="D33" s="2"/>
      <c r="E33" s="1"/>
      <c r="F33" s="1"/>
      <c r="G33" s="1"/>
      <c r="H33" s="3"/>
      <c r="N33" s="87"/>
    </row>
    <row r="34" spans="1:20" ht="15" customHeight="1" x14ac:dyDescent="0.25">
      <c r="A34" s="172"/>
      <c r="B34" s="3" t="s">
        <v>156</v>
      </c>
      <c r="C34" s="1"/>
      <c r="D34" s="2"/>
      <c r="E34" s="1"/>
      <c r="F34" s="1"/>
      <c r="G34" s="1"/>
      <c r="H34" s="3"/>
      <c r="J34" s="91"/>
      <c r="K34" s="91"/>
      <c r="L34" s="91"/>
      <c r="M34" s="91"/>
      <c r="N34" s="92"/>
      <c r="O34" s="91"/>
      <c r="P34" s="91"/>
      <c r="Q34" s="91"/>
      <c r="R34" s="91"/>
    </row>
    <row r="35" spans="1:20" s="5" customFormat="1" ht="15" customHeight="1" x14ac:dyDescent="0.25">
      <c r="B35" s="180" t="s">
        <v>61</v>
      </c>
      <c r="C35" s="50" t="s">
        <v>62</v>
      </c>
      <c r="D35" s="51" t="s">
        <v>63</v>
      </c>
      <c r="E35" s="10"/>
      <c r="F35" s="181" t="s">
        <v>64</v>
      </c>
      <c r="G35" s="50" t="s">
        <v>62</v>
      </c>
      <c r="H35" s="51" t="s">
        <v>63</v>
      </c>
      <c r="J35" s="93"/>
      <c r="M35" s="93"/>
      <c r="N35" s="94"/>
      <c r="O35" s="100" t="s">
        <v>121</v>
      </c>
      <c r="P35" s="100"/>
      <c r="Q35" s="101">
        <f ca="1">J18</f>
        <v>310.53037754281712</v>
      </c>
      <c r="R35" s="93"/>
      <c r="S35" s="47"/>
      <c r="T35" s="47"/>
    </row>
    <row r="36" spans="1:20" s="5" customFormat="1" ht="15" customHeight="1" x14ac:dyDescent="0.25">
      <c r="B36" s="180"/>
      <c r="C36" s="52">
        <f ca="1">IF(B4=10,(XIRR(D40:D50,C40:C50,0)+1)^(30/365)-1,IF(B4=9,(XIRR(D40:D49,C40:C49,0)+1)^(30/365)-1,IF(B4=8,(XIRR(D40:D48,C40:C48,0)+1)^(30/365)-1,IF(B4=7,(XIRR(D40:D47,C40:C47,0)+1)^(30/365)-1,IF(B4=6,(XIRR(D40:D46,C40:C46,0)+1)^(30/365)-1,IF(B4=5,(XIRR(D40:D45,C40:C45,0)+1)^(30/365)-1,IF(B4=4,(XIRR(D40:D44,C40:C44,0)+1)^(30/365)-1,IF(B4=3,(XIRR(D40:D43,C40:C43,0)+1)^(30/365)-1,IF(B4=2,(XIRR(D40:D42,C40:C42,0)+1)^(30/365)-1,IF(B4=1,(XIRR(D40:D41,C40:C41,0)+1)^(30/365)-1,""))))))))))</f>
        <v>4.593693543040045E-2</v>
      </c>
      <c r="D36" s="52">
        <f ca="1">ROUND((((C36+1)^(365/30)-1)),4)</f>
        <v>0.72709999999999997</v>
      </c>
      <c r="E36" s="10"/>
      <c r="F36" s="181"/>
      <c r="G36" s="52">
        <f ca="1">IF(B4=10,(XIRR(H40:H50,G40:G50,0)+1)^(30/365)-1,IF(B4=9,(XIRR(H40:H49,G40:G49,0)+1)^(30/365)-1,IF(B4=8,(XIRR(H40:H48,G40:G48,0)+1)^(30/365)-1,IF(B4=7,(XIRR(H40:H47,G40:G47,0)+1)^(30/365)-1,IF(B4=6,(XIRR(H40:H46,G40:G46,0)+1)^(30/365)-1,IF(B4=5,(XIRR(H40:H45,G40:G45,0)+1)^(30/365)-1,IF(B4=4,(XIRR(H40:H44,G40:G44,0)+1)^(30/365)-1,IF(B4=3,(XIRR(H40:H43,G40:G43,0)+1)^(30/365)-1,IF(B4=2,(XIRR(H40:H42,G40:G42,0)+1)^(30/365)-1,IF(B4=1,(XIRR(H40:H41,G40:G41,0)+1)^(30/365)-1,""))))))))))</f>
        <v>1.7900000306115382E-2</v>
      </c>
      <c r="H36" s="52">
        <f ca="1">ROUND((((G36+1)^(12)-1)),4)</f>
        <v>0.23730000000000001</v>
      </c>
      <c r="J36" s="93"/>
      <c r="M36" s="93"/>
      <c r="N36" s="94"/>
      <c r="O36" s="100" t="s">
        <v>119</v>
      </c>
      <c r="P36" s="100"/>
      <c r="Q36" s="101">
        <f ca="1">M18</f>
        <v>6.0189592412604283</v>
      </c>
      <c r="R36" s="93"/>
      <c r="S36" s="47"/>
      <c r="T36" s="47"/>
    </row>
    <row r="37" spans="1:20" ht="15" customHeight="1" x14ac:dyDescent="0.25">
      <c r="C37" s="1"/>
      <c r="D37" s="2"/>
      <c r="E37" s="1"/>
      <c r="F37" s="1"/>
      <c r="G37" s="1"/>
      <c r="H37" s="3"/>
      <c r="J37" s="91"/>
      <c r="M37" s="95"/>
      <c r="N37" s="95"/>
      <c r="O37" s="100" t="s">
        <v>134</v>
      </c>
      <c r="P37" s="100"/>
      <c r="Q37" s="101">
        <v>0</v>
      </c>
      <c r="R37" s="91"/>
    </row>
    <row r="38" spans="1:20" ht="15" customHeight="1" x14ac:dyDescent="0.25">
      <c r="C38" s="1"/>
      <c r="D38" s="2"/>
      <c r="E38" s="1"/>
      <c r="F38" s="1"/>
      <c r="G38" s="1"/>
      <c r="H38" s="3"/>
      <c r="J38" s="91"/>
      <c r="M38" s="96"/>
      <c r="N38" s="97"/>
      <c r="O38" s="100" t="s">
        <v>135</v>
      </c>
      <c r="P38" s="100"/>
      <c r="Q38" s="102">
        <f ca="1">B28</f>
        <v>76.091692769682879</v>
      </c>
      <c r="R38" s="91"/>
    </row>
    <row r="39" spans="1:20" ht="15" customHeight="1" x14ac:dyDescent="0.25">
      <c r="C39" s="182" t="s">
        <v>61</v>
      </c>
      <c r="D39" s="182"/>
      <c r="E39" s="1"/>
      <c r="F39" s="1"/>
      <c r="G39" s="182" t="s">
        <v>64</v>
      </c>
      <c r="H39" s="182"/>
      <c r="J39" s="91"/>
      <c r="M39" s="91"/>
      <c r="N39" s="98"/>
      <c r="O39" s="103" t="s">
        <v>117</v>
      </c>
      <c r="P39" s="103"/>
      <c r="Q39" s="103">
        <f>B18</f>
        <v>10</v>
      </c>
      <c r="R39" s="91"/>
    </row>
    <row r="40" spans="1:20" ht="15" customHeight="1" x14ac:dyDescent="0.25">
      <c r="C40" s="49">
        <f ca="1">B1</f>
        <v>45372</v>
      </c>
      <c r="D40" s="36">
        <f ca="1">-N18+H23</f>
        <v>-244.51141830155666</v>
      </c>
      <c r="E40" s="1"/>
      <c r="F40" s="1"/>
      <c r="G40" s="49">
        <f ca="1">B1</f>
        <v>45372</v>
      </c>
      <c r="H40" s="36">
        <f ca="1">-J18</f>
        <v>-310.53037754281712</v>
      </c>
      <c r="J40" s="91"/>
      <c r="M40" s="91"/>
      <c r="N40" s="98"/>
      <c r="O40" s="100" t="s">
        <v>116</v>
      </c>
      <c r="P40" s="100"/>
      <c r="Q40" s="104">
        <f ca="1">MIN(A8:A17)</f>
        <v>45444</v>
      </c>
      <c r="R40" s="91"/>
    </row>
    <row r="41" spans="1:20" ht="15" customHeight="1" x14ac:dyDescent="0.25">
      <c r="C41" s="49">
        <f t="shared" ref="C41:C49" ca="1" si="26">A8</f>
        <v>45444</v>
      </c>
      <c r="D41" s="36">
        <f t="shared" ref="D41:D49" si="27">G8</f>
        <v>193.5</v>
      </c>
      <c r="E41" s="1"/>
      <c r="F41" s="1"/>
      <c r="G41" s="49">
        <f t="shared" ref="G41:G49" ca="1" si="28">A8</f>
        <v>45444</v>
      </c>
      <c r="H41" s="36">
        <f t="shared" ref="H41:H49" si="29">G8</f>
        <v>193.5</v>
      </c>
      <c r="J41" s="91"/>
      <c r="M41" s="91"/>
      <c r="N41" s="98"/>
      <c r="O41" s="100" t="s">
        <v>136</v>
      </c>
      <c r="P41" s="100"/>
      <c r="Q41" s="105">
        <f ca="1">MAX(A8:A17)</f>
        <v>48731</v>
      </c>
      <c r="R41" s="91"/>
    </row>
    <row r="42" spans="1:20" ht="15" customHeight="1" x14ac:dyDescent="0.25">
      <c r="C42" s="49">
        <f t="shared" ca="1" si="26"/>
        <v>45809</v>
      </c>
      <c r="D42" s="36">
        <f t="shared" si="27"/>
        <v>96.75</v>
      </c>
      <c r="E42" s="1"/>
      <c r="F42" s="1"/>
      <c r="G42" s="49">
        <f t="shared" ca="1" si="28"/>
        <v>45809</v>
      </c>
      <c r="H42" s="36">
        <f t="shared" si="29"/>
        <v>96.75</v>
      </c>
      <c r="J42" s="91"/>
      <c r="M42" s="95"/>
      <c r="N42" s="95"/>
      <c r="O42" s="179" t="s">
        <v>138</v>
      </c>
      <c r="P42" s="147"/>
      <c r="Q42" s="106">
        <f>B23</f>
        <v>1.7899999999999999E-2</v>
      </c>
      <c r="R42" s="91"/>
    </row>
    <row r="43" spans="1:20" ht="15" customHeight="1" x14ac:dyDescent="0.25">
      <c r="C43" s="49">
        <f t="shared" ca="1" si="26"/>
        <v>46174</v>
      </c>
      <c r="D43" s="36">
        <f t="shared" si="27"/>
        <v>48.375</v>
      </c>
      <c r="E43" s="1"/>
      <c r="F43" s="1"/>
      <c r="G43" s="49">
        <f t="shared" ca="1" si="28"/>
        <v>46174</v>
      </c>
      <c r="H43" s="36">
        <f t="shared" si="29"/>
        <v>48.375</v>
      </c>
      <c r="J43" s="91"/>
      <c r="M43" s="95"/>
      <c r="N43" s="95"/>
      <c r="O43" s="179"/>
      <c r="P43" s="147"/>
      <c r="Q43" s="106">
        <f ca="1">B24</f>
        <v>0.23730000000000001</v>
      </c>
      <c r="R43" s="91"/>
    </row>
    <row r="44" spans="1:20" ht="15" customHeight="1" x14ac:dyDescent="0.25">
      <c r="C44" s="49">
        <f t="shared" ca="1" si="26"/>
        <v>46539</v>
      </c>
      <c r="D44" s="36">
        <f t="shared" si="27"/>
        <v>24.1875</v>
      </c>
      <c r="E44" s="1"/>
      <c r="F44" s="1"/>
      <c r="G44" s="49">
        <f t="shared" ca="1" si="28"/>
        <v>46539</v>
      </c>
      <c r="H44" s="36">
        <f t="shared" si="29"/>
        <v>24.1875</v>
      </c>
      <c r="J44" s="91"/>
      <c r="M44" s="99"/>
      <c r="N44" s="95"/>
      <c r="O44" s="179" t="s">
        <v>137</v>
      </c>
      <c r="P44" s="147"/>
      <c r="Q44" s="107">
        <f ca="1">B29</f>
        <v>4.593693543040045E-2</v>
      </c>
      <c r="R44" s="91"/>
    </row>
    <row r="45" spans="1:20" ht="15" customHeight="1" x14ac:dyDescent="0.25">
      <c r="C45" s="49">
        <f t="shared" ca="1" si="26"/>
        <v>46905</v>
      </c>
      <c r="D45" s="36">
        <f t="shared" si="27"/>
        <v>12.09375</v>
      </c>
      <c r="E45" s="1"/>
      <c r="F45" s="1"/>
      <c r="G45" s="49">
        <f t="shared" ca="1" si="28"/>
        <v>46905</v>
      </c>
      <c r="H45" s="36">
        <f t="shared" si="29"/>
        <v>12.09375</v>
      </c>
      <c r="J45" s="91"/>
      <c r="M45" s="99"/>
      <c r="N45" s="95"/>
      <c r="O45" s="179"/>
      <c r="P45" s="147"/>
      <c r="Q45" s="107">
        <f ca="1">B30</f>
        <v>0.72709999999999997</v>
      </c>
      <c r="R45" s="91"/>
    </row>
    <row r="46" spans="1:20" ht="15" customHeight="1" x14ac:dyDescent="0.25">
      <c r="C46" s="49">
        <f t="shared" ca="1" si="26"/>
        <v>47270</v>
      </c>
      <c r="D46" s="36">
        <f t="shared" si="27"/>
        <v>6.046875</v>
      </c>
      <c r="E46" s="1"/>
      <c r="F46" s="1"/>
      <c r="G46" s="49">
        <f t="shared" ca="1" si="28"/>
        <v>47270</v>
      </c>
      <c r="H46" s="36">
        <f t="shared" si="29"/>
        <v>6.046875</v>
      </c>
      <c r="J46" s="91"/>
      <c r="M46" s="99"/>
      <c r="N46" s="97"/>
      <c r="O46" s="100" t="s">
        <v>120</v>
      </c>
      <c r="P46" s="100"/>
      <c r="Q46" s="102">
        <f>G18</f>
        <v>386.6220703125</v>
      </c>
      <c r="R46" s="91"/>
    </row>
    <row r="47" spans="1:20" ht="15" customHeight="1" x14ac:dyDescent="0.25">
      <c r="C47" s="49">
        <f t="shared" ca="1" si="26"/>
        <v>47635</v>
      </c>
      <c r="D47" s="36">
        <f t="shared" si="27"/>
        <v>3.0234375</v>
      </c>
      <c r="E47" s="1"/>
      <c r="F47" s="1"/>
      <c r="G47" s="49">
        <f t="shared" ca="1" si="28"/>
        <v>47635</v>
      </c>
      <c r="H47" s="36">
        <f t="shared" si="29"/>
        <v>3.0234375</v>
      </c>
      <c r="J47" s="91"/>
      <c r="M47" s="91"/>
      <c r="N47" s="98"/>
      <c r="O47" s="100" t="s">
        <v>115</v>
      </c>
      <c r="P47" s="100"/>
      <c r="Q47" s="102">
        <f ca="1">N18</f>
        <v>304.51141830155666</v>
      </c>
      <c r="R47" s="91"/>
    </row>
    <row r="48" spans="1:20" ht="15" customHeight="1" x14ac:dyDescent="0.25">
      <c r="C48" s="49">
        <f t="shared" ca="1" si="26"/>
        <v>48000</v>
      </c>
      <c r="D48" s="36">
        <f t="shared" si="27"/>
        <v>1.51171875</v>
      </c>
      <c r="E48" s="1"/>
      <c r="F48" s="1"/>
      <c r="G48" s="49">
        <f t="shared" ca="1" si="28"/>
        <v>48000</v>
      </c>
      <c r="H48" s="36">
        <f t="shared" si="29"/>
        <v>1.51171875</v>
      </c>
      <c r="J48" s="91"/>
      <c r="M48" s="91"/>
      <c r="N48" s="91"/>
      <c r="O48" s="91"/>
      <c r="P48" s="91"/>
      <c r="Q48" s="91"/>
      <c r="R48" s="91"/>
    </row>
    <row r="49" spans="3:18" ht="15" customHeight="1" x14ac:dyDescent="0.25">
      <c r="C49" s="49">
        <f t="shared" ca="1" si="26"/>
        <v>48366</v>
      </c>
      <c r="D49" s="36">
        <f t="shared" si="27"/>
        <v>0.755859375</v>
      </c>
      <c r="E49" s="1"/>
      <c r="F49" s="1"/>
      <c r="G49" s="49">
        <f t="shared" ca="1" si="28"/>
        <v>48366</v>
      </c>
      <c r="H49" s="36">
        <f t="shared" si="29"/>
        <v>0.755859375</v>
      </c>
      <c r="J49" s="91"/>
      <c r="K49" s="99"/>
      <c r="L49" s="99"/>
      <c r="M49" s="95"/>
      <c r="N49" s="95"/>
      <c r="O49" s="91"/>
      <c r="P49" s="91"/>
      <c r="Q49" s="91"/>
      <c r="R49" s="91"/>
    </row>
    <row r="50" spans="3:18" ht="15" customHeight="1" x14ac:dyDescent="0.25">
      <c r="C50" s="49">
        <f t="shared" ref="C50" ca="1" si="30">A17</f>
        <v>48731</v>
      </c>
      <c r="D50" s="36">
        <f t="shared" ref="D50" si="31">G17</f>
        <v>0.3779296875</v>
      </c>
      <c r="E50" s="1"/>
      <c r="F50" s="1"/>
      <c r="G50" s="49">
        <f t="shared" ref="G50" ca="1" si="32">A17</f>
        <v>48731</v>
      </c>
      <c r="H50" s="36">
        <f t="shared" ref="H50" si="33">G17</f>
        <v>0.3779296875</v>
      </c>
      <c r="J50" s="91"/>
      <c r="L50" s="91"/>
      <c r="M50" s="95"/>
      <c r="N50" s="95"/>
      <c r="O50" s="91"/>
      <c r="P50" s="91"/>
      <c r="Q50" s="91"/>
      <c r="R50" s="91"/>
    </row>
    <row r="51" spans="3:18" ht="15" customHeight="1" x14ac:dyDescent="0.25">
      <c r="C51" s="1"/>
      <c r="D51" s="2"/>
      <c r="E51" s="1"/>
      <c r="F51" s="1"/>
      <c r="G51" s="1"/>
      <c r="H51" s="3"/>
      <c r="J51" s="91"/>
      <c r="K51" s="95"/>
      <c r="L51" s="91"/>
      <c r="M51" s="95"/>
      <c r="N51" s="99"/>
      <c r="O51" s="91"/>
      <c r="P51" s="91"/>
      <c r="Q51" s="91"/>
      <c r="R51" s="91"/>
    </row>
    <row r="52" spans="3:18" ht="15" customHeight="1" x14ac:dyDescent="0.25">
      <c r="C52" s="1"/>
      <c r="D52" s="2"/>
      <c r="E52" s="1"/>
      <c r="F52" s="1"/>
      <c r="G52" s="1"/>
      <c r="H52" s="3"/>
      <c r="J52" s="91"/>
      <c r="K52" s="91"/>
      <c r="L52" s="91"/>
      <c r="M52" s="91"/>
      <c r="N52" s="91"/>
      <c r="O52" s="91"/>
      <c r="P52" s="91"/>
      <c r="Q52" s="91"/>
      <c r="R52" s="91"/>
    </row>
    <row r="53" spans="3:18" ht="15" customHeight="1" x14ac:dyDescent="0.25">
      <c r="C53" s="1"/>
      <c r="D53" s="2"/>
      <c r="E53" s="1"/>
      <c r="F53" s="1"/>
      <c r="G53" s="1"/>
      <c r="H53" s="3"/>
      <c r="J53" s="91"/>
      <c r="K53" s="91"/>
      <c r="L53" s="91"/>
      <c r="M53" s="91"/>
      <c r="N53" s="91"/>
      <c r="O53" s="91"/>
      <c r="P53" s="91"/>
      <c r="Q53" s="91"/>
      <c r="R53" s="91"/>
    </row>
    <row r="54" spans="3:18" ht="15" customHeight="1" x14ac:dyDescent="0.25">
      <c r="C54" s="1"/>
      <c r="D54" s="2"/>
      <c r="E54" s="1"/>
      <c r="F54" s="1"/>
      <c r="G54" s="1"/>
      <c r="H54" s="3"/>
      <c r="J54" s="91"/>
      <c r="K54" s="91"/>
      <c r="L54" s="91"/>
      <c r="M54" s="91"/>
      <c r="N54" s="91"/>
      <c r="O54" s="91"/>
      <c r="P54" s="91"/>
      <c r="Q54" s="91"/>
      <c r="R54" s="91"/>
    </row>
    <row r="55" spans="3:18" ht="15" customHeight="1" x14ac:dyDescent="0.25">
      <c r="C55" s="1"/>
      <c r="D55" s="2"/>
      <c r="E55" s="1"/>
      <c r="F55" s="1"/>
      <c r="G55" s="1"/>
      <c r="H55" s="3"/>
      <c r="J55" s="91"/>
      <c r="K55" s="91"/>
      <c r="L55" s="91"/>
      <c r="M55" s="91"/>
      <c r="N55" s="91"/>
      <c r="O55" s="91"/>
      <c r="P55" s="91"/>
      <c r="Q55" s="91"/>
      <c r="R55" s="91"/>
    </row>
    <row r="56" spans="3:18" ht="15" customHeight="1" x14ac:dyDescent="0.25">
      <c r="C56" s="1"/>
      <c r="D56" s="2"/>
      <c r="E56" s="1"/>
      <c r="F56" s="1"/>
      <c r="G56" s="1"/>
      <c r="H56" s="3"/>
      <c r="J56" s="91"/>
      <c r="K56" s="91"/>
      <c r="L56" s="91"/>
      <c r="M56" s="91"/>
      <c r="N56" s="91"/>
      <c r="O56" s="91"/>
      <c r="P56" s="91"/>
      <c r="Q56" s="91"/>
      <c r="R56" s="91"/>
    </row>
    <row r="57" spans="3:18" ht="15" customHeight="1" x14ac:dyDescent="0.25">
      <c r="C57" s="1"/>
      <c r="D57" s="2"/>
      <c r="E57" s="1"/>
      <c r="F57" s="1"/>
      <c r="G57" s="1"/>
      <c r="H57" s="3"/>
      <c r="J57" s="91"/>
      <c r="K57" s="91"/>
      <c r="L57" s="91"/>
      <c r="M57" s="91"/>
      <c r="N57" s="91"/>
      <c r="O57" s="91"/>
      <c r="P57" s="91"/>
      <c r="Q57" s="91"/>
      <c r="R57" s="91"/>
    </row>
    <row r="58" spans="3:18" ht="15" customHeight="1" x14ac:dyDescent="0.25">
      <c r="C58" s="1"/>
      <c r="D58" s="2"/>
      <c r="E58" s="1"/>
      <c r="F58" s="1"/>
      <c r="G58" s="1"/>
      <c r="H58" s="3"/>
      <c r="J58" s="91"/>
      <c r="M58" s="91"/>
      <c r="N58" s="91"/>
      <c r="O58" s="91"/>
      <c r="P58" s="91"/>
      <c r="Q58" s="91"/>
      <c r="R58" s="91"/>
    </row>
    <row r="59" spans="3:18" ht="15" customHeight="1" x14ac:dyDescent="0.25">
      <c r="C59" s="1"/>
      <c r="D59" s="2"/>
      <c r="E59" s="1"/>
      <c r="F59" s="1"/>
      <c r="G59" s="1"/>
      <c r="H59" s="3"/>
      <c r="J59" s="91"/>
      <c r="M59" s="91"/>
      <c r="N59" s="91"/>
    </row>
    <row r="60" spans="3:18" ht="15" customHeight="1" x14ac:dyDescent="0.25">
      <c r="C60" s="1"/>
      <c r="D60" s="2"/>
      <c r="E60" s="1"/>
      <c r="F60" s="1"/>
      <c r="G60" s="1"/>
      <c r="H60" s="3"/>
    </row>
    <row r="61" spans="3:18" ht="15" customHeight="1" x14ac:dyDescent="0.25">
      <c r="C61" s="1"/>
      <c r="D61" s="2"/>
      <c r="E61" s="1"/>
      <c r="F61" s="1"/>
      <c r="G61" s="1"/>
      <c r="H61" s="3"/>
    </row>
    <row r="62" spans="3:18" ht="15" customHeight="1" x14ac:dyDescent="0.25">
      <c r="C62" s="1"/>
      <c r="D62" s="2"/>
      <c r="E62" s="1"/>
      <c r="F62" s="1"/>
      <c r="G62" s="1"/>
      <c r="H62" s="3"/>
    </row>
    <row r="63" spans="3:18" ht="15" customHeight="1" x14ac:dyDescent="0.25">
      <c r="C63" s="1"/>
      <c r="D63" s="2"/>
      <c r="E63" s="1"/>
      <c r="F63" s="1"/>
      <c r="G63" s="1"/>
      <c r="H63" s="3"/>
    </row>
    <row r="64" spans="3:18" ht="15" customHeight="1" x14ac:dyDescent="0.25">
      <c r="C64" s="1"/>
      <c r="D64" s="2"/>
      <c r="E64" s="1"/>
      <c r="F64" s="1"/>
      <c r="G64" s="1"/>
      <c r="H64" s="3"/>
    </row>
    <row r="65" spans="3:8" ht="15" customHeight="1" x14ac:dyDescent="0.25">
      <c r="C65" s="1"/>
      <c r="D65" s="2"/>
      <c r="E65" s="1"/>
      <c r="F65" s="1"/>
      <c r="G65" s="1"/>
      <c r="H65" s="3"/>
    </row>
    <row r="66" spans="3:8" ht="15" customHeight="1" x14ac:dyDescent="0.25">
      <c r="C66" s="1"/>
      <c r="D66" s="2"/>
      <c r="E66" s="1"/>
      <c r="F66" s="1"/>
      <c r="G66" s="1"/>
      <c r="H66" s="3"/>
    </row>
    <row r="67" spans="3:8" ht="15" customHeight="1" x14ac:dyDescent="0.25">
      <c r="C67" s="1"/>
      <c r="D67" s="2"/>
      <c r="E67" s="1"/>
      <c r="F67" s="1"/>
      <c r="G67" s="1"/>
      <c r="H67" s="3"/>
    </row>
    <row r="68" spans="3:8" ht="15" customHeight="1" x14ac:dyDescent="0.25">
      <c r="C68" s="1"/>
      <c r="D68" s="2"/>
      <c r="E68" s="1"/>
      <c r="F68" s="1"/>
      <c r="G68" s="1"/>
      <c r="H68" s="3"/>
    </row>
    <row r="69" spans="3:8" ht="15" customHeight="1" x14ac:dyDescent="0.25">
      <c r="C69" s="1"/>
      <c r="D69" s="2"/>
      <c r="E69" s="1"/>
      <c r="F69" s="1"/>
      <c r="G69" s="1"/>
      <c r="H69" s="3"/>
    </row>
    <row r="70" spans="3:8" ht="15" customHeight="1" x14ac:dyDescent="0.25">
      <c r="C70" s="1"/>
      <c r="D70" s="2"/>
      <c r="E70" s="1"/>
      <c r="F70" s="1"/>
      <c r="G70" s="1"/>
      <c r="H70" s="3"/>
    </row>
    <row r="71" spans="3:8" ht="15" customHeight="1" x14ac:dyDescent="0.25">
      <c r="C71" s="1"/>
      <c r="D71" s="2"/>
      <c r="E71" s="1"/>
      <c r="F71" s="1"/>
      <c r="G71" s="1"/>
      <c r="H71" s="3"/>
    </row>
    <row r="72" spans="3:8" ht="15" customHeight="1" x14ac:dyDescent="0.25">
      <c r="C72" s="1"/>
      <c r="D72" s="2"/>
      <c r="E72" s="1"/>
      <c r="F72" s="1"/>
      <c r="G72" s="1"/>
      <c r="H72" s="3"/>
    </row>
    <row r="73" spans="3:8" ht="15" customHeight="1" x14ac:dyDescent="0.25">
      <c r="C73" s="1"/>
      <c r="D73" s="2"/>
      <c r="E73" s="1"/>
      <c r="F73" s="1"/>
      <c r="G73" s="1"/>
      <c r="H73" s="3"/>
    </row>
    <row r="74" spans="3:8" ht="15" customHeight="1" x14ac:dyDescent="0.25">
      <c r="C74" s="1"/>
      <c r="D74" s="2"/>
      <c r="E74" s="1"/>
      <c r="F74" s="1"/>
      <c r="G74" s="1"/>
      <c r="H74" s="3"/>
    </row>
    <row r="75" spans="3:8" ht="15" customHeight="1" x14ac:dyDescent="0.25">
      <c r="C75" s="1"/>
      <c r="D75" s="2"/>
      <c r="E75" s="1"/>
      <c r="F75" s="1"/>
      <c r="G75" s="1"/>
      <c r="H75" s="3"/>
    </row>
    <row r="76" spans="3:8" ht="15" customHeight="1" x14ac:dyDescent="0.25">
      <c r="C76" s="1"/>
      <c r="D76" s="2"/>
      <c r="E76" s="1"/>
      <c r="F76" s="1"/>
      <c r="G76" s="1"/>
      <c r="H76" s="3"/>
    </row>
    <row r="77" spans="3:8" ht="15" customHeight="1" x14ac:dyDescent="0.25">
      <c r="C77" s="1"/>
      <c r="D77" s="2"/>
      <c r="E77" s="1"/>
      <c r="F77" s="1"/>
      <c r="G77" s="1"/>
      <c r="H77" s="3"/>
    </row>
    <row r="78" spans="3:8" ht="15" customHeight="1" x14ac:dyDescent="0.25">
      <c r="C78" s="1"/>
      <c r="D78" s="2"/>
      <c r="E78" s="1"/>
      <c r="F78" s="1"/>
      <c r="G78" s="1"/>
      <c r="H78" s="3"/>
    </row>
    <row r="79" spans="3:8" ht="15" customHeight="1" x14ac:dyDescent="0.25">
      <c r="C79" s="1"/>
      <c r="D79" s="2"/>
      <c r="E79" s="1"/>
      <c r="F79" s="1"/>
      <c r="G79" s="1"/>
      <c r="H79" s="3"/>
    </row>
    <row r="80" spans="3:8" ht="15" customHeight="1" x14ac:dyDescent="0.25">
      <c r="C80" s="1"/>
      <c r="D80" s="2"/>
      <c r="E80" s="1"/>
      <c r="F80" s="1"/>
      <c r="G80" s="1"/>
      <c r="H80" s="3"/>
    </row>
    <row r="81" spans="3:8" ht="15" customHeight="1" x14ac:dyDescent="0.25">
      <c r="C81" s="1"/>
      <c r="D81" s="2"/>
      <c r="E81" s="1"/>
      <c r="F81" s="1"/>
      <c r="G81" s="1"/>
      <c r="H81" s="3"/>
    </row>
    <row r="82" spans="3:8" ht="15" customHeight="1" x14ac:dyDescent="0.25">
      <c r="C82" s="1"/>
      <c r="D82" s="2"/>
      <c r="E82" s="1"/>
      <c r="F82" s="1"/>
      <c r="G82" s="1"/>
      <c r="H82" s="3"/>
    </row>
    <row r="83" spans="3:8" ht="15" customHeight="1" x14ac:dyDescent="0.25">
      <c r="C83" s="1"/>
      <c r="D83" s="2"/>
      <c r="E83" s="1"/>
      <c r="F83" s="1"/>
      <c r="G83" s="1"/>
      <c r="H83" s="3"/>
    </row>
    <row r="84" spans="3:8" ht="15" customHeight="1" x14ac:dyDescent="0.25">
      <c r="C84" s="1"/>
      <c r="D84" s="2"/>
      <c r="E84" s="1"/>
      <c r="F84" s="1"/>
      <c r="G84" s="1"/>
      <c r="H84" s="3"/>
    </row>
    <row r="85" spans="3:8" ht="15" customHeight="1" x14ac:dyDescent="0.25">
      <c r="C85" s="1"/>
      <c r="D85" s="2"/>
      <c r="E85" s="1"/>
      <c r="F85" s="1"/>
      <c r="G85" s="1"/>
      <c r="H85" s="3"/>
    </row>
    <row r="86" spans="3:8" ht="15" customHeight="1" x14ac:dyDescent="0.25">
      <c r="C86" s="1"/>
      <c r="D86" s="2"/>
      <c r="E86" s="1"/>
      <c r="F86" s="1"/>
      <c r="G86" s="1"/>
      <c r="H86" s="3"/>
    </row>
    <row r="87" spans="3:8" ht="15" customHeight="1" x14ac:dyDescent="0.25">
      <c r="C87" s="1"/>
      <c r="D87" s="2"/>
      <c r="E87" s="1"/>
      <c r="F87" s="1"/>
      <c r="G87" s="1"/>
      <c r="H87" s="3"/>
    </row>
    <row r="88" spans="3:8" ht="15" customHeight="1" x14ac:dyDescent="0.25">
      <c r="C88" s="1"/>
      <c r="D88" s="2"/>
      <c r="E88" s="1"/>
      <c r="F88" s="1"/>
      <c r="G88" s="1"/>
      <c r="H88" s="3"/>
    </row>
    <row r="89" spans="3:8" x14ac:dyDescent="0.25">
      <c r="C89" s="1"/>
      <c r="D89" s="2"/>
      <c r="E89" s="1"/>
      <c r="F89" s="1"/>
      <c r="G89" s="1"/>
      <c r="H89" s="3"/>
    </row>
    <row r="90" spans="3:8" x14ac:dyDescent="0.25">
      <c r="C90" s="1"/>
      <c r="D90" s="2"/>
      <c r="E90" s="1"/>
      <c r="F90" s="1"/>
      <c r="G90" s="1"/>
      <c r="H90" s="3"/>
    </row>
    <row r="91" spans="3:8" x14ac:dyDescent="0.25">
      <c r="C91" s="1"/>
      <c r="D91" s="2"/>
      <c r="E91" s="1"/>
      <c r="F91" s="1"/>
      <c r="G91" s="1"/>
      <c r="H91" s="3"/>
    </row>
    <row r="92" spans="3:8" x14ac:dyDescent="0.25">
      <c r="C92" s="1"/>
      <c r="D92" s="2"/>
      <c r="E92" s="1"/>
      <c r="F92" s="1"/>
      <c r="G92" s="1"/>
      <c r="H92" s="3"/>
    </row>
    <row r="93" spans="3:8" x14ac:dyDescent="0.25">
      <c r="C93" s="1"/>
      <c r="D93" s="2"/>
      <c r="E93" s="1"/>
      <c r="F93" s="1"/>
      <c r="G93" s="1"/>
      <c r="H93" s="3"/>
    </row>
    <row r="94" spans="3:8" x14ac:dyDescent="0.25">
      <c r="C94" s="1"/>
      <c r="D94" s="2"/>
      <c r="E94" s="1"/>
      <c r="F94" s="1"/>
      <c r="G94" s="1"/>
      <c r="H94" s="3"/>
    </row>
    <row r="95" spans="3:8" x14ac:dyDescent="0.25">
      <c r="C95" s="1"/>
      <c r="D95" s="2"/>
      <c r="E95" s="1"/>
      <c r="F95" s="1"/>
      <c r="G95" s="1"/>
      <c r="H95" s="3"/>
    </row>
    <row r="96" spans="3:8" x14ac:dyDescent="0.25">
      <c r="C96" s="1"/>
      <c r="D96" s="2"/>
      <c r="E96" s="1"/>
      <c r="F96" s="1"/>
      <c r="G96" s="1"/>
      <c r="H96" s="3"/>
    </row>
    <row r="97" spans="3:8" x14ac:dyDescent="0.25">
      <c r="C97" s="1"/>
      <c r="D97" s="2"/>
      <c r="E97" s="1"/>
      <c r="F97" s="1"/>
      <c r="G97" s="1"/>
      <c r="H97" s="3"/>
    </row>
    <row r="98" spans="3:8" x14ac:dyDescent="0.25">
      <c r="C98" s="1"/>
      <c r="D98" s="2"/>
      <c r="E98" s="1"/>
      <c r="F98" s="1"/>
      <c r="G98" s="1"/>
      <c r="H98" s="3"/>
    </row>
    <row r="99" spans="3:8" x14ac:dyDescent="0.25">
      <c r="C99" s="1"/>
      <c r="D99" s="2"/>
      <c r="E99" s="1"/>
      <c r="F99" s="1"/>
      <c r="G99" s="1"/>
      <c r="H99" s="3"/>
    </row>
    <row r="100" spans="3:8" x14ac:dyDescent="0.25">
      <c r="C100" s="1"/>
      <c r="D100" s="2"/>
      <c r="E100" s="1"/>
      <c r="F100" s="1"/>
      <c r="G100" s="1"/>
      <c r="H100" s="3"/>
    </row>
    <row r="101" spans="3:8" x14ac:dyDescent="0.25">
      <c r="C101" s="1"/>
      <c r="D101" s="2"/>
      <c r="E101" s="1"/>
      <c r="F101" s="1"/>
      <c r="G101" s="1"/>
      <c r="H101" s="3"/>
    </row>
    <row r="102" spans="3:8" x14ac:dyDescent="0.25">
      <c r="C102" s="1"/>
      <c r="D102" s="2"/>
      <c r="E102" s="1"/>
      <c r="F102" s="1"/>
      <c r="G102" s="1"/>
      <c r="H102" s="3"/>
    </row>
    <row r="103" spans="3:8" x14ac:dyDescent="0.25">
      <c r="C103" s="1"/>
      <c r="D103" s="2"/>
      <c r="E103" s="1"/>
      <c r="F103" s="1"/>
      <c r="G103" s="1"/>
      <c r="H103" s="3"/>
    </row>
    <row r="104" spans="3:8" x14ac:dyDescent="0.25">
      <c r="C104" s="1"/>
      <c r="D104" s="2"/>
      <c r="E104" s="1"/>
      <c r="F104" s="1"/>
      <c r="G104" s="1"/>
      <c r="H104" s="3"/>
    </row>
    <row r="105" spans="3:8" x14ac:dyDescent="0.25">
      <c r="C105" s="1"/>
      <c r="D105" s="2"/>
      <c r="E105" s="1"/>
      <c r="F105" s="1"/>
      <c r="G105" s="1"/>
      <c r="H105" s="3"/>
    </row>
    <row r="106" spans="3:8" x14ac:dyDescent="0.25">
      <c r="C106" s="1"/>
      <c r="D106" s="2"/>
      <c r="E106" s="1"/>
      <c r="F106" s="1"/>
      <c r="G106" s="1"/>
      <c r="H106" s="3"/>
    </row>
    <row r="107" spans="3:8" x14ac:dyDescent="0.25">
      <c r="C107" s="1"/>
      <c r="D107" s="2"/>
      <c r="E107" s="1"/>
      <c r="F107" s="1"/>
      <c r="G107" s="1"/>
      <c r="H107" s="3"/>
    </row>
    <row r="108" spans="3:8" x14ac:dyDescent="0.25">
      <c r="C108" s="1"/>
      <c r="D108" s="2"/>
      <c r="E108" s="1"/>
      <c r="F108" s="1"/>
      <c r="G108" s="1"/>
      <c r="H108" s="3"/>
    </row>
    <row r="109" spans="3:8" x14ac:dyDescent="0.25">
      <c r="C109" s="1"/>
      <c r="D109" s="2"/>
      <c r="E109" s="1"/>
      <c r="F109" s="1"/>
      <c r="G109" s="1"/>
      <c r="H109" s="3"/>
    </row>
    <row r="110" spans="3:8" x14ac:dyDescent="0.25">
      <c r="C110" s="1"/>
      <c r="D110" s="2"/>
      <c r="E110" s="1"/>
      <c r="F110" s="1"/>
      <c r="G110" s="1"/>
      <c r="H110" s="3"/>
    </row>
    <row r="111" spans="3:8" x14ac:dyDescent="0.25">
      <c r="C111" s="1"/>
      <c r="D111" s="2"/>
      <c r="E111" s="1"/>
      <c r="F111" s="1"/>
      <c r="G111" s="1"/>
      <c r="H111" s="3"/>
    </row>
    <row r="112" spans="3:8" x14ac:dyDescent="0.25">
      <c r="C112" s="1"/>
      <c r="D112" s="2"/>
      <c r="E112" s="1"/>
      <c r="F112" s="1"/>
      <c r="G112" s="1"/>
      <c r="H112" s="3"/>
    </row>
    <row r="113" spans="3:8" x14ac:dyDescent="0.25">
      <c r="C113" s="1"/>
      <c r="D113" s="2"/>
      <c r="E113" s="1"/>
      <c r="F113" s="1"/>
      <c r="G113" s="1"/>
      <c r="H113" s="3"/>
    </row>
    <row r="114" spans="3:8" x14ac:dyDescent="0.25">
      <c r="C114" s="1"/>
      <c r="D114" s="2"/>
      <c r="E114" s="1"/>
      <c r="F114" s="1"/>
      <c r="G114" s="1"/>
      <c r="H114" s="3"/>
    </row>
    <row r="115" spans="3:8" x14ac:dyDescent="0.25">
      <c r="C115" s="1"/>
      <c r="D115" s="2"/>
      <c r="E115" s="1"/>
      <c r="F115" s="1"/>
      <c r="G115" s="1"/>
      <c r="H115" s="3"/>
    </row>
    <row r="116" spans="3:8" x14ac:dyDescent="0.25">
      <c r="C116" s="1"/>
      <c r="D116" s="2"/>
      <c r="E116" s="1"/>
      <c r="F116" s="1"/>
      <c r="G116" s="1"/>
      <c r="H116" s="3"/>
    </row>
    <row r="117" spans="3:8" x14ac:dyDescent="0.25">
      <c r="C117" s="1"/>
      <c r="D117" s="2"/>
      <c r="E117" s="1"/>
      <c r="F117" s="1"/>
      <c r="G117" s="1"/>
      <c r="H117" s="3"/>
    </row>
    <row r="118" spans="3:8" x14ac:dyDescent="0.25">
      <c r="C118" s="1"/>
      <c r="D118" s="2"/>
      <c r="E118" s="1"/>
      <c r="F118" s="1"/>
      <c r="G118" s="1"/>
      <c r="H118" s="3"/>
    </row>
    <row r="119" spans="3:8" x14ac:dyDescent="0.25">
      <c r="C119" s="1"/>
      <c r="D119" s="2"/>
      <c r="E119" s="1"/>
      <c r="F119" s="1"/>
      <c r="G119" s="1"/>
      <c r="H119" s="3"/>
    </row>
    <row r="120" spans="3:8" x14ac:dyDescent="0.25">
      <c r="C120" s="1"/>
      <c r="D120" s="2"/>
      <c r="E120" s="1"/>
      <c r="F120" s="1"/>
      <c r="G120" s="1"/>
      <c r="H120" s="3"/>
    </row>
    <row r="121" spans="3:8" x14ac:dyDescent="0.25">
      <c r="C121" s="1"/>
      <c r="D121" s="2"/>
      <c r="E121" s="1"/>
      <c r="F121" s="1"/>
      <c r="G121" s="1"/>
      <c r="H121" s="3"/>
    </row>
    <row r="122" spans="3:8" x14ac:dyDescent="0.25">
      <c r="C122" s="1"/>
      <c r="D122" s="2"/>
      <c r="E122" s="1"/>
      <c r="F122" s="1"/>
      <c r="G122" s="1"/>
      <c r="H122" s="3"/>
    </row>
    <row r="123" spans="3:8" x14ac:dyDescent="0.25">
      <c r="C123" s="1"/>
      <c r="D123" s="2"/>
      <c r="E123" s="1"/>
      <c r="F123" s="1"/>
      <c r="G123" s="1"/>
      <c r="H123" s="3"/>
    </row>
    <row r="124" spans="3:8" x14ac:dyDescent="0.25">
      <c r="C124" s="1"/>
      <c r="D124" s="2"/>
      <c r="E124" s="1"/>
      <c r="F124" s="1"/>
      <c r="G124" s="1"/>
      <c r="H124" s="3"/>
    </row>
    <row r="125" spans="3:8" x14ac:dyDescent="0.25">
      <c r="C125" s="1"/>
      <c r="D125" s="2"/>
      <c r="E125" s="1"/>
      <c r="F125" s="1"/>
      <c r="G125" s="1"/>
      <c r="H125" s="3"/>
    </row>
    <row r="126" spans="3:8" x14ac:dyDescent="0.25">
      <c r="C126" s="1"/>
      <c r="D126" s="2"/>
      <c r="E126" s="1"/>
      <c r="F126" s="1"/>
      <c r="G126" s="1"/>
      <c r="H126" s="3"/>
    </row>
    <row r="127" spans="3:8" x14ac:dyDescent="0.25">
      <c r="C127" s="1"/>
      <c r="D127" s="2"/>
      <c r="E127" s="1"/>
      <c r="F127" s="1"/>
      <c r="G127" s="1"/>
      <c r="H127" s="3"/>
    </row>
    <row r="128" spans="3:8" x14ac:dyDescent="0.25">
      <c r="C128" s="1"/>
      <c r="D128" s="2"/>
      <c r="E128" s="1"/>
      <c r="F128" s="1"/>
      <c r="G128" s="1"/>
      <c r="H128" s="3"/>
    </row>
    <row r="129" spans="3:8" x14ac:dyDescent="0.25">
      <c r="C129" s="1"/>
      <c r="D129" s="2"/>
      <c r="E129" s="1"/>
      <c r="F129" s="1"/>
      <c r="G129" s="1"/>
      <c r="H129" s="3"/>
    </row>
    <row r="130" spans="3:8" x14ac:dyDescent="0.25">
      <c r="C130" s="1"/>
      <c r="D130" s="2"/>
      <c r="E130" s="1"/>
      <c r="F130" s="1"/>
      <c r="G130" s="1"/>
      <c r="H130" s="3"/>
    </row>
    <row r="131" spans="3:8" x14ac:dyDescent="0.25">
      <c r="C131" s="1"/>
      <c r="D131" s="2"/>
      <c r="E131" s="1"/>
      <c r="F131" s="1"/>
      <c r="G131" s="1"/>
      <c r="H131" s="3"/>
    </row>
    <row r="132" spans="3:8" x14ac:dyDescent="0.25">
      <c r="C132" s="1"/>
      <c r="D132" s="2"/>
      <c r="E132" s="1"/>
      <c r="F132" s="1"/>
      <c r="G132" s="1"/>
      <c r="H132" s="3"/>
    </row>
    <row r="133" spans="3:8" x14ac:dyDescent="0.25">
      <c r="C133" s="1" t="str">
        <f t="shared" ref="C133:C138" si="34">IF(H132&lt;0.01,"",H132)</f>
        <v/>
      </c>
      <c r="D133" s="2" t="str">
        <f t="shared" ref="D133:D138" si="35">IF(C133="","",IF(C133&gt;20000,5%,IF(C133&gt;15000,10%,IF(C133&gt;10000,15%,IF(C133&gt;5000,20%,IF(C133&gt;1000,30%,IF(C133&gt;500,40%,50%)))))))</f>
        <v/>
      </c>
      <c r="E133" s="1" t="str">
        <f t="shared" ref="E133:E138" si="36">IF(D133="","",C133*D133)</f>
        <v/>
      </c>
      <c r="F133" s="1" t="str">
        <f t="shared" ref="F133:F138" si="37">IF(C133="","",IF(C133&gt;20000,2900,IF(C133&gt;15000,1900,IF(C133&gt;10000,1150,IF(C133&gt;5000,650,IF(C133&gt;1000,150,IF(C133&gt;500,50,0)))))))</f>
        <v/>
      </c>
      <c r="G133" s="1" t="str">
        <f t="shared" ref="G133:G138" si="38">IF(C133="","",F133+E133)</f>
        <v/>
      </c>
      <c r="H133" s="3" t="str">
        <f t="shared" ref="H133:H138" si="39">IF(C133="","",C133-G133)</f>
        <v/>
      </c>
    </row>
    <row r="134" spans="3:8" x14ac:dyDescent="0.25">
      <c r="C134" s="1" t="str">
        <f t="shared" si="34"/>
        <v/>
      </c>
      <c r="D134" s="2" t="str">
        <f t="shared" si="35"/>
        <v/>
      </c>
      <c r="E134" s="1" t="str">
        <f t="shared" si="36"/>
        <v/>
      </c>
      <c r="F134" s="1" t="str">
        <f t="shared" si="37"/>
        <v/>
      </c>
      <c r="G134" s="1" t="str">
        <f t="shared" si="38"/>
        <v/>
      </c>
      <c r="H134" s="3" t="str">
        <f t="shared" si="39"/>
        <v/>
      </c>
    </row>
    <row r="135" spans="3:8" x14ac:dyDescent="0.25">
      <c r="C135" s="1" t="str">
        <f t="shared" si="34"/>
        <v/>
      </c>
      <c r="D135" s="2" t="str">
        <f t="shared" si="35"/>
        <v/>
      </c>
      <c r="E135" s="1" t="str">
        <f t="shared" si="36"/>
        <v/>
      </c>
      <c r="F135" s="1" t="str">
        <f t="shared" si="37"/>
        <v/>
      </c>
      <c r="G135" s="1" t="str">
        <f t="shared" si="38"/>
        <v/>
      </c>
      <c r="H135" s="3" t="str">
        <f t="shared" si="39"/>
        <v/>
      </c>
    </row>
    <row r="136" spans="3:8" x14ac:dyDescent="0.25">
      <c r="C136" s="1" t="str">
        <f t="shared" si="34"/>
        <v/>
      </c>
      <c r="D136" s="2" t="str">
        <f t="shared" si="35"/>
        <v/>
      </c>
      <c r="E136" s="1" t="str">
        <f t="shared" si="36"/>
        <v/>
      </c>
      <c r="F136" s="1" t="str">
        <f t="shared" si="37"/>
        <v/>
      </c>
      <c r="G136" s="1" t="str">
        <f t="shared" si="38"/>
        <v/>
      </c>
      <c r="H136" s="3" t="str">
        <f t="shared" si="39"/>
        <v/>
      </c>
    </row>
    <row r="137" spans="3:8" x14ac:dyDescent="0.25">
      <c r="C137" s="1" t="str">
        <f t="shared" si="34"/>
        <v/>
      </c>
      <c r="D137" s="2" t="str">
        <f t="shared" si="35"/>
        <v/>
      </c>
      <c r="E137" s="1" t="str">
        <f t="shared" si="36"/>
        <v/>
      </c>
      <c r="F137" s="1" t="str">
        <f t="shared" si="37"/>
        <v/>
      </c>
      <c r="G137" s="1" t="str">
        <f t="shared" si="38"/>
        <v/>
      </c>
      <c r="H137" s="3" t="str">
        <f t="shared" si="39"/>
        <v/>
      </c>
    </row>
    <row r="138" spans="3:8" x14ac:dyDescent="0.25">
      <c r="C138" s="1" t="str">
        <f t="shared" si="34"/>
        <v/>
      </c>
      <c r="D138" s="2" t="str">
        <f t="shared" si="35"/>
        <v/>
      </c>
      <c r="E138" s="1" t="str">
        <f t="shared" si="36"/>
        <v/>
      </c>
      <c r="F138" s="1" t="str">
        <f t="shared" si="37"/>
        <v/>
      </c>
      <c r="G138" s="1" t="str">
        <f t="shared" si="38"/>
        <v/>
      </c>
      <c r="H138" s="3" t="str">
        <f t="shared" si="39"/>
        <v/>
      </c>
    </row>
  </sheetData>
  <mergeCells count="9">
    <mergeCell ref="A32:A34"/>
    <mergeCell ref="Q15:Q17"/>
    <mergeCell ref="R15:R17"/>
    <mergeCell ref="O44:O45"/>
    <mergeCell ref="B35:B36"/>
    <mergeCell ref="F35:F36"/>
    <mergeCell ref="C39:D39"/>
    <mergeCell ref="G39:H39"/>
    <mergeCell ref="O42:O43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2C5E-6768-436C-9F80-0182F7C4DC13}">
  <dimension ref="A1:C30"/>
  <sheetViews>
    <sheetView topLeftCell="A31" workbookViewId="0">
      <selection activeCell="A30" sqref="A1:XFD30"/>
    </sheetView>
  </sheetViews>
  <sheetFormatPr defaultRowHeight="15" x14ac:dyDescent="0.25"/>
  <cols>
    <col min="1" max="1" width="22.7109375" style="155" customWidth="1"/>
    <col min="2" max="3" width="16.7109375" style="154" customWidth="1"/>
  </cols>
  <sheetData>
    <row r="1" spans="1:3" hidden="1" x14ac:dyDescent="0.25"/>
    <row r="2" spans="1:3" hidden="1" x14ac:dyDescent="0.25"/>
    <row r="3" spans="1:3" hidden="1" x14ac:dyDescent="0.25"/>
    <row r="4" spans="1:3" hidden="1" x14ac:dyDescent="0.25">
      <c r="A4" s="156" t="s">
        <v>68</v>
      </c>
      <c r="B4" s="157" t="s">
        <v>152</v>
      </c>
      <c r="C4" s="157" t="s">
        <v>153</v>
      </c>
    </row>
    <row r="5" spans="1:3" hidden="1" x14ac:dyDescent="0.25">
      <c r="A5" s="158">
        <v>1000</v>
      </c>
      <c r="B5" s="159">
        <v>1.0843364869335428</v>
      </c>
      <c r="C5" s="159">
        <v>8.6746918954683422E-2</v>
      </c>
    </row>
    <row r="6" spans="1:3" hidden="1" x14ac:dyDescent="0.25">
      <c r="A6" s="158">
        <v>2000</v>
      </c>
      <c r="B6" s="159">
        <v>2.9819253390672431</v>
      </c>
      <c r="C6" s="159">
        <v>0.23855402712537946</v>
      </c>
    </row>
    <row r="7" spans="1:3" hidden="1" x14ac:dyDescent="0.25">
      <c r="A7" s="158">
        <v>3000</v>
      </c>
      <c r="B7" s="159">
        <v>5.7361400158784415</v>
      </c>
      <c r="C7" s="159">
        <v>0.45889120127027533</v>
      </c>
    </row>
    <row r="8" spans="1:3" hidden="1" x14ac:dyDescent="0.25">
      <c r="A8" s="158">
        <v>4000</v>
      </c>
      <c r="B8" s="159">
        <v>9.2407155416476527</v>
      </c>
      <c r="C8" s="159">
        <v>0.7392572433318122</v>
      </c>
    </row>
    <row r="9" spans="1:3" hidden="1" x14ac:dyDescent="0.25">
      <c r="A9" s="158">
        <v>5000</v>
      </c>
      <c r="B9" s="159">
        <v>13.703844521866113</v>
      </c>
      <c r="C9" s="159">
        <v>1.096307561749289</v>
      </c>
    </row>
    <row r="10" spans="1:3" hidden="1" x14ac:dyDescent="0.25">
      <c r="A10" s="158">
        <v>6000</v>
      </c>
      <c r="B10" s="159">
        <v>19.820369777360845</v>
      </c>
      <c r="C10" s="159">
        <v>1.5856295821888677</v>
      </c>
    </row>
    <row r="11" spans="1:3" hidden="1" x14ac:dyDescent="0.25">
      <c r="A11" s="158">
        <v>7000</v>
      </c>
      <c r="B11" s="159">
        <v>26.961376145710382</v>
      </c>
      <c r="C11" s="159">
        <v>2.1569100916568305</v>
      </c>
    </row>
    <row r="12" spans="1:3" hidden="1" x14ac:dyDescent="0.25">
      <c r="A12" s="158">
        <v>8000</v>
      </c>
      <c r="B12" s="159">
        <v>36.070236370546915</v>
      </c>
      <c r="C12" s="159">
        <v>2.8856189096437532</v>
      </c>
    </row>
    <row r="13" spans="1:3" hidden="1" x14ac:dyDescent="0.25">
      <c r="A13" s="158">
        <v>9000</v>
      </c>
      <c r="B13" s="159">
        <v>47.495846559906177</v>
      </c>
      <c r="C13" s="159">
        <v>3.7996677247924944</v>
      </c>
    </row>
    <row r="14" spans="1:3" hidden="1" x14ac:dyDescent="0.25">
      <c r="A14" s="158">
        <v>10000</v>
      </c>
      <c r="B14" s="159">
        <v>59.508039415237036</v>
      </c>
      <c r="C14" s="159">
        <v>4.7606431532189628</v>
      </c>
    </row>
    <row r="15" spans="1:3" hidden="1" x14ac:dyDescent="0.25">
      <c r="A15" s="158">
        <v>11000</v>
      </c>
      <c r="B15" s="159">
        <v>73.535266381404114</v>
      </c>
      <c r="C15" s="159">
        <v>5.8828213105123295</v>
      </c>
    </row>
    <row r="16" spans="1:3" hidden="1" x14ac:dyDescent="0.25">
      <c r="A16" s="158">
        <v>12000</v>
      </c>
      <c r="B16" s="159">
        <v>88.776823932097088</v>
      </c>
      <c r="C16" s="159">
        <v>7.1021459145677674</v>
      </c>
    </row>
    <row r="17" spans="1:3" hidden="1" x14ac:dyDescent="0.25">
      <c r="A17" s="158">
        <v>13000</v>
      </c>
      <c r="B17" s="159">
        <v>104.68279811971631</v>
      </c>
      <c r="C17" s="159">
        <v>8.3746238495773042</v>
      </c>
    </row>
    <row r="18" spans="1:3" hidden="1" x14ac:dyDescent="0.25">
      <c r="A18" s="158">
        <v>14000</v>
      </c>
      <c r="B18" s="159">
        <v>122.38329056786039</v>
      </c>
      <c r="C18" s="159">
        <v>9.7906632454288314</v>
      </c>
    </row>
    <row r="19" spans="1:3" hidden="1" x14ac:dyDescent="0.25">
      <c r="A19" s="158">
        <v>15000</v>
      </c>
      <c r="B19" s="159">
        <v>138.89544245343998</v>
      </c>
      <c r="C19" s="159">
        <v>11.111635396275199</v>
      </c>
    </row>
    <row r="20" spans="1:3" hidden="1" x14ac:dyDescent="0.25">
      <c r="A20" s="158">
        <v>16000</v>
      </c>
      <c r="B20" s="159">
        <v>156.37889739111247</v>
      </c>
      <c r="C20" s="159">
        <v>12.510311791288999</v>
      </c>
    </row>
    <row r="21" spans="1:3" hidden="1" x14ac:dyDescent="0.25">
      <c r="A21" s="158">
        <v>17000</v>
      </c>
      <c r="B21" s="159">
        <v>176.14099144330416</v>
      </c>
      <c r="C21" s="159">
        <v>14.091279315464334</v>
      </c>
    </row>
    <row r="22" spans="1:3" hidden="1" x14ac:dyDescent="0.25">
      <c r="A22" s="158">
        <v>18000</v>
      </c>
      <c r="B22" s="159">
        <v>195.90757512455369</v>
      </c>
      <c r="C22" s="159">
        <v>15.672606009964296</v>
      </c>
    </row>
    <row r="23" spans="1:3" hidden="1" x14ac:dyDescent="0.25">
      <c r="A23" s="158">
        <v>19000</v>
      </c>
      <c r="B23" s="159">
        <v>215.30681260130191</v>
      </c>
      <c r="C23" s="159">
        <v>17.224545008104155</v>
      </c>
    </row>
    <row r="24" spans="1:3" hidden="1" x14ac:dyDescent="0.25">
      <c r="A24" s="158">
        <v>20000</v>
      </c>
      <c r="B24" s="159">
        <v>235.58214467377425</v>
      </c>
      <c r="C24" s="159">
        <v>18.84657157390194</v>
      </c>
    </row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</sheetData>
  <sheetProtection algorithmName="SHA-512" hashValue="NvIAJAGi3cdq8sGB9QTVe2pc2TaCoCvM1N5S293pUCiZlrBF9wD+bIkIjbF1tFFF/U2xg+OuYDmC039USiO6RA==" saltValue="TN6Vrc+rAAsMyvdZWf+MJ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430A-913B-49F0-96CE-F622DD23D206}">
  <sheetPr>
    <pageSetUpPr fitToPage="1"/>
  </sheetPr>
  <dimension ref="A1:X131"/>
  <sheetViews>
    <sheetView showGridLines="0" topLeftCell="A58" workbookViewId="0">
      <selection activeCell="A57" sqref="A1:XFD57"/>
    </sheetView>
  </sheetViews>
  <sheetFormatPr defaultColWidth="9.28515625" defaultRowHeight="15" x14ac:dyDescent="0.25"/>
  <cols>
    <col min="1" max="1" width="20.28515625" bestFit="1" customWidth="1"/>
    <col min="2" max="2" width="10.7109375" bestFit="1" customWidth="1"/>
    <col min="3" max="3" width="13.5703125" bestFit="1" customWidth="1"/>
    <col min="4" max="4" width="11.28515625" bestFit="1" customWidth="1"/>
    <col min="5" max="5" width="10.5703125" bestFit="1" customWidth="1"/>
    <col min="6" max="6" width="16.42578125" bestFit="1" customWidth="1"/>
    <col min="7" max="7" width="22" bestFit="1" customWidth="1"/>
    <col min="8" max="8" width="10.5703125" bestFit="1" customWidth="1"/>
    <col min="9" max="9" width="6.28515625" bestFit="1" customWidth="1"/>
    <col min="10" max="10" width="10.5703125" bestFit="1" customWidth="1"/>
    <col min="11" max="11" width="12.28515625" bestFit="1" customWidth="1"/>
    <col min="12" max="12" width="9.42578125" bestFit="1" customWidth="1"/>
    <col min="13" max="13" width="9.28515625" bestFit="1" customWidth="1"/>
    <col min="14" max="14" width="17" bestFit="1" customWidth="1"/>
    <col min="15" max="15" width="36.5703125" bestFit="1" customWidth="1"/>
    <col min="16" max="16" width="10.7109375" bestFit="1" customWidth="1"/>
    <col min="17" max="17" width="43.85546875" customWidth="1"/>
    <col min="18" max="18" width="43.85546875" style="44" customWidth="1"/>
    <col min="19" max="19" width="10.5703125" style="44" bestFit="1" customWidth="1"/>
  </cols>
  <sheetData>
    <row r="1" spans="1:20" hidden="1" x14ac:dyDescent="0.25">
      <c r="A1" s="33" t="s">
        <v>10</v>
      </c>
      <c r="B1" s="56">
        <v>44560</v>
      </c>
    </row>
    <row r="2" spans="1:20" hidden="1" x14ac:dyDescent="0.25">
      <c r="A2" s="33" t="s">
        <v>130</v>
      </c>
      <c r="B2" s="56">
        <v>36586</v>
      </c>
    </row>
    <row r="3" spans="1:20" hidden="1" x14ac:dyDescent="0.25">
      <c r="A3" s="33" t="s">
        <v>65</v>
      </c>
      <c r="B3" s="53">
        <v>450</v>
      </c>
    </row>
    <row r="4" spans="1:20" hidden="1" x14ac:dyDescent="0.25">
      <c r="A4" s="33" t="s">
        <v>131</v>
      </c>
      <c r="B4" s="90">
        <v>6</v>
      </c>
    </row>
    <row r="5" spans="1:20" hidden="1" x14ac:dyDescent="0.25">
      <c r="B5" s="88"/>
    </row>
    <row r="6" spans="1:20" hidden="1" x14ac:dyDescent="0.25"/>
    <row r="7" spans="1:20" s="6" customFormat="1" ht="45" hidden="1" x14ac:dyDescent="0.25">
      <c r="A7" s="27" t="s">
        <v>12</v>
      </c>
      <c r="B7" s="27"/>
      <c r="C7" s="28" t="s">
        <v>8</v>
      </c>
      <c r="D7" s="27" t="s">
        <v>9</v>
      </c>
      <c r="E7" s="29" t="s">
        <v>0</v>
      </c>
      <c r="F7" s="29" t="s">
        <v>1</v>
      </c>
      <c r="G7" s="30" t="s">
        <v>81</v>
      </c>
      <c r="H7" s="29" t="s">
        <v>82</v>
      </c>
      <c r="I7" s="29" t="s">
        <v>4</v>
      </c>
      <c r="J7" s="29" t="s">
        <v>11</v>
      </c>
      <c r="K7" s="29" t="s">
        <v>6</v>
      </c>
      <c r="L7" s="29" t="s">
        <v>7</v>
      </c>
      <c r="M7" s="29" t="s">
        <v>87</v>
      </c>
      <c r="N7" s="31" t="s">
        <v>5</v>
      </c>
      <c r="R7" s="45"/>
      <c r="S7" s="45"/>
    </row>
    <row r="8" spans="1:20" hidden="1" x14ac:dyDescent="0.25">
      <c r="A8" s="32">
        <f>IF(MONTH(B1)&gt;=MONTH(B2),DATE(YEAR(B1)+1,MONTH(B2),1),DATE(YEAR(B1),MONTH(B2),1))</f>
        <v>44621</v>
      </c>
      <c r="B8" s="33">
        <v>1</v>
      </c>
      <c r="C8" s="34">
        <f>IF(B3&lt;250.01,B3*2,IF(B3&lt;450,(B3-50)/40*100,IF(B3&lt;1650,(B3-150)/30*100,IF(B3&lt;2650,(B3-650)/20*100,IF(B3&lt;3400,(B3-1150)/15*100,IF(B3&lt;3900,(B3-1900)/10*100,(B3-2900)/5*100))))))</f>
        <v>1000</v>
      </c>
      <c r="D8" s="35">
        <f t="shared" ref="D8:D13" si="0">IF(C8="","",IF(C8&gt;20000,5%,IF(C8&gt;15000,10%,IF(C8&gt;10000,15%,IF(C8&gt;5000,20%,IF(C8&gt;1000,30%,IF(C8&gt;500,40%,50%)))))))</f>
        <v>0.4</v>
      </c>
      <c r="E8" s="34">
        <f>IF(D8="","",C8*D8)</f>
        <v>400</v>
      </c>
      <c r="F8" s="34">
        <f>IF(C8="","",IF(C8&gt;20000,2900,IF(C8&gt;15000,1900,IF(C8&gt;10000,1150,IF(C8&gt;5000,650,IF(C8&gt;1000,150,IF(C8&gt;500,50,0)))))))</f>
        <v>50</v>
      </c>
      <c r="G8" s="34">
        <f>B3</f>
        <v>450</v>
      </c>
      <c r="H8" s="36">
        <f>IF(C8="","",C8-G8)</f>
        <v>550</v>
      </c>
      <c r="I8" s="33">
        <f t="shared" ref="I8" si="1">A8-$B$1</f>
        <v>61</v>
      </c>
      <c r="J8" s="34">
        <f t="shared" ref="J8" si="2">G8/($C$17^I8)</f>
        <v>431.89608325364122</v>
      </c>
      <c r="K8" s="36">
        <f>J8*0.38%</f>
        <v>1.6412051163638366</v>
      </c>
      <c r="L8" s="36">
        <f>J8*(IF(I8&lt;365,I8*$B$20,365*$B$20))</f>
        <v>2.1603442084347138</v>
      </c>
      <c r="M8" s="36">
        <f>K8+L8</f>
        <v>3.8015493247985503</v>
      </c>
      <c r="N8" s="36">
        <f>J8-K8-L8</f>
        <v>428.09453392884268</v>
      </c>
      <c r="O8" s="3"/>
      <c r="T8" s="3"/>
    </row>
    <row r="9" spans="1:20" hidden="1" x14ac:dyDescent="0.25">
      <c r="A9" s="32">
        <f>IF(B9="","",DATE(YEAR(A8)+1,MONTH(A8),DAY(A8)))</f>
        <v>44986</v>
      </c>
      <c r="B9" s="33">
        <f>IF(B8="","",IF(B8+1&gt;$B$4,"",B8+1))</f>
        <v>2</v>
      </c>
      <c r="C9" s="34">
        <f>IF(B9="","",IF(H8&lt;0.01,"",H8))</f>
        <v>550</v>
      </c>
      <c r="D9" s="35">
        <f t="shared" si="0"/>
        <v>0.4</v>
      </c>
      <c r="E9" s="34">
        <f>IF(D9="","",C9*D9)</f>
        <v>220</v>
      </c>
      <c r="F9" s="34">
        <f>IF(C9="","",IF(C9&gt;20000,2900,IF(C9&gt;15000,1900,IF(C9&gt;10000,1150,IF(C9&gt;5000,650,IF(C9&gt;1000,150,IF(C9&gt;500,50,0)))))))</f>
        <v>50</v>
      </c>
      <c r="G9" s="34">
        <f>IF(C9="","",F9+E9)</f>
        <v>270</v>
      </c>
      <c r="H9" s="36">
        <f>IF(C9="","",C9-G9)</f>
        <v>280</v>
      </c>
      <c r="I9" s="33">
        <f>IF(B9="","",A9-$B$1)</f>
        <v>426</v>
      </c>
      <c r="J9" s="34">
        <f t="shared" ref="J9:J14" si="3">IF(B9="","",G9/($C$17^I9))</f>
        <v>202.68582408057256</v>
      </c>
      <c r="K9" s="36">
        <f>IF(B9="","",J9*0.38%)</f>
        <v>0.77020613150617567</v>
      </c>
      <c r="L9" s="36">
        <f t="shared" ref="L9:L14" si="4">IF(B9="","",J9*(IF(I9&lt;365,I9*$B$20,365*$B$20)))</f>
        <v>6.0663867147315367</v>
      </c>
      <c r="M9" s="36">
        <f>IF(B9="","",K9+L9)</f>
        <v>6.8365928462377124</v>
      </c>
      <c r="N9" s="36">
        <f>IF(B9="","",J9-K9-L9)</f>
        <v>195.84923123433484</v>
      </c>
      <c r="O9" s="3"/>
    </row>
    <row r="10" spans="1:20" hidden="1" x14ac:dyDescent="0.25">
      <c r="A10" s="32">
        <f t="shared" ref="A10:A14" si="5">IF(B10="","",DATE(YEAR(A9)+1,MONTH(A9),DAY(A9)))</f>
        <v>45352</v>
      </c>
      <c r="B10" s="33">
        <f>IF(B9="","",IF(B9+1&gt;$B$4,"",B9+1))</f>
        <v>3</v>
      </c>
      <c r="C10" s="34">
        <f t="shared" ref="C10:C14" si="6">IF(B10="","",IF(H9&lt;0.01,"",H9))</f>
        <v>280</v>
      </c>
      <c r="D10" s="35">
        <f t="shared" si="0"/>
        <v>0.5</v>
      </c>
      <c r="E10" s="34">
        <f t="shared" ref="E10:E14" si="7">IF(D10="","",C10*D10)</f>
        <v>140</v>
      </c>
      <c r="F10" s="34">
        <f t="shared" ref="F10:F14" si="8">IF(C10="","",IF(C10&gt;20000,2900,IF(C10&gt;15000,1900,IF(C10&gt;10000,1150,IF(C10&gt;5000,650,IF(C10&gt;1000,150,IF(C10&gt;500,50,0)))))))</f>
        <v>0</v>
      </c>
      <c r="G10" s="34">
        <f t="shared" ref="G10:G14" si="9">IF(C10="","",F10+E10)</f>
        <v>140</v>
      </c>
      <c r="H10" s="36">
        <f t="shared" ref="H10:H14" si="10">IF(C10="","",C10-G10)</f>
        <v>140</v>
      </c>
      <c r="I10" s="33">
        <f t="shared" ref="I10:I14" si="11">IF(B10="","",A10-$B$1)</f>
        <v>792</v>
      </c>
      <c r="J10" s="34">
        <f t="shared" si="3"/>
        <v>82.146328452565456</v>
      </c>
      <c r="K10" s="36">
        <f t="shared" ref="K10:K14" si="12">IF(B10="","",J10*0.38%)</f>
        <v>0.31215604811974873</v>
      </c>
      <c r="L10" s="36">
        <f t="shared" si="4"/>
        <v>2.4586396105852844</v>
      </c>
      <c r="M10" s="36">
        <f t="shared" ref="M10:M14" si="13">IF(B10="","",K10+L10)</f>
        <v>2.7707956587050333</v>
      </c>
      <c r="N10" s="36">
        <f t="shared" ref="N10:N14" si="14">IF(B10="","",J10-K10-L10)</f>
        <v>79.37553279386043</v>
      </c>
      <c r="O10" s="3"/>
    </row>
    <row r="11" spans="1:20" hidden="1" x14ac:dyDescent="0.25">
      <c r="A11" s="32">
        <f t="shared" si="5"/>
        <v>45717</v>
      </c>
      <c r="B11" s="33">
        <f t="shared" ref="B11:B14" si="15">IF(B10="","",IF(B10+1&gt;$B$4,"",B10+1))</f>
        <v>4</v>
      </c>
      <c r="C11" s="34">
        <f t="shared" si="6"/>
        <v>140</v>
      </c>
      <c r="D11" s="35">
        <f t="shared" si="0"/>
        <v>0.5</v>
      </c>
      <c r="E11" s="34">
        <f t="shared" si="7"/>
        <v>70</v>
      </c>
      <c r="F11" s="34">
        <f t="shared" si="8"/>
        <v>0</v>
      </c>
      <c r="G11" s="34">
        <f t="shared" si="9"/>
        <v>70</v>
      </c>
      <c r="H11" s="36">
        <f t="shared" si="10"/>
        <v>70</v>
      </c>
      <c r="I11" s="33">
        <f t="shared" si="11"/>
        <v>1157</v>
      </c>
      <c r="J11" s="34">
        <f t="shared" si="3"/>
        <v>32.125583219331112</v>
      </c>
      <c r="K11" s="36">
        <f t="shared" si="12"/>
        <v>0.12207721623345823</v>
      </c>
      <c r="L11" s="36">
        <f t="shared" si="4"/>
        <v>0.96151870575458021</v>
      </c>
      <c r="M11" s="36">
        <f t="shared" si="13"/>
        <v>1.0835959219880384</v>
      </c>
      <c r="N11" s="36">
        <f t="shared" si="14"/>
        <v>31.041987297343073</v>
      </c>
      <c r="O11" s="3"/>
    </row>
    <row r="12" spans="1:20" hidden="1" x14ac:dyDescent="0.25">
      <c r="A12" s="32">
        <f t="shared" ref="A12" si="16">IF(B12="","",DATE(YEAR(A11)+1,MONTH(A11),DAY(A11)))</f>
        <v>46082</v>
      </c>
      <c r="B12" s="33">
        <f t="shared" si="15"/>
        <v>5</v>
      </c>
      <c r="C12" s="34">
        <f t="shared" ref="C12" si="17">IF(B12="","",IF(H11&lt;0.01,"",H11))</f>
        <v>70</v>
      </c>
      <c r="D12" s="35">
        <f t="shared" ref="D12" si="18">IF(C12="","",IF(C12&gt;20000,5%,IF(C12&gt;15000,10%,IF(C12&gt;10000,15%,IF(C12&gt;5000,20%,IF(C12&gt;1000,30%,IF(C12&gt;500,40%,50%)))))))</f>
        <v>0.5</v>
      </c>
      <c r="E12" s="34">
        <f t="shared" ref="E12" si="19">IF(D12="","",C12*D12)</f>
        <v>35</v>
      </c>
      <c r="F12" s="34">
        <f t="shared" ref="F12" si="20">IF(C12="","",IF(C12&gt;20000,2900,IF(C12&gt;15000,1900,IF(C12&gt;10000,1150,IF(C12&gt;5000,650,IF(C12&gt;1000,150,IF(C12&gt;500,50,0)))))))</f>
        <v>0</v>
      </c>
      <c r="G12" s="34">
        <f t="shared" ref="G12" si="21">IF(C12="","",F12+E12)</f>
        <v>35</v>
      </c>
      <c r="H12" s="36">
        <f t="shared" ref="H12" si="22">IF(C12="","",C12-G12)</f>
        <v>35</v>
      </c>
      <c r="I12" s="33">
        <f t="shared" ref="I12" si="23">IF(B12="","",A12-$B$1)</f>
        <v>1522</v>
      </c>
      <c r="J12" s="34">
        <f t="shared" si="3"/>
        <v>12.563593731132086</v>
      </c>
      <c r="K12" s="36">
        <f t="shared" ref="K12" si="24">IF(B12="","",J12*0.38%)</f>
        <v>4.7741656178301922E-2</v>
      </c>
      <c r="L12" s="36">
        <f t="shared" si="4"/>
        <v>0.37602836037278337</v>
      </c>
      <c r="M12" s="36">
        <f t="shared" ref="M12" si="25">IF(B12="","",K12+L12)</f>
        <v>0.42377001655108526</v>
      </c>
      <c r="N12" s="36">
        <f t="shared" ref="N12" si="26">IF(B12="","",J12-K12-L12)</f>
        <v>12.139823714581</v>
      </c>
      <c r="O12" s="3"/>
    </row>
    <row r="13" spans="1:20" hidden="1" x14ac:dyDescent="0.25">
      <c r="A13" s="32">
        <f>IF(B13="","",DATE(YEAR(A12)+1,MONTH(A12),DAY(A12)))</f>
        <v>46447</v>
      </c>
      <c r="B13" s="33">
        <f>IF(B12="","",IF(B12+1&gt;$B$4,"",B12+1))</f>
        <v>6</v>
      </c>
      <c r="C13" s="34">
        <f>IF(B13="","",IF(H12&lt;0.01,"",H12))</f>
        <v>35</v>
      </c>
      <c r="D13" s="35">
        <f t="shared" si="0"/>
        <v>0.5</v>
      </c>
      <c r="E13" s="34">
        <f t="shared" si="7"/>
        <v>17.5</v>
      </c>
      <c r="F13" s="34">
        <f t="shared" si="8"/>
        <v>0</v>
      </c>
      <c r="G13" s="34">
        <f t="shared" si="9"/>
        <v>17.5</v>
      </c>
      <c r="H13" s="36">
        <f t="shared" si="10"/>
        <v>17.5</v>
      </c>
      <c r="I13" s="33">
        <f t="shared" si="11"/>
        <v>1887</v>
      </c>
      <c r="J13" s="34">
        <f t="shared" si="3"/>
        <v>4.9133392026937956</v>
      </c>
      <c r="K13" s="36">
        <f t="shared" si="12"/>
        <v>1.8670688970236424E-2</v>
      </c>
      <c r="L13" s="36">
        <f t="shared" si="4"/>
        <v>0.14705624233662531</v>
      </c>
      <c r="M13" s="36">
        <f t="shared" si="13"/>
        <v>0.16572693130686172</v>
      </c>
      <c r="N13" s="36">
        <f t="shared" si="14"/>
        <v>4.7476122713869335</v>
      </c>
      <c r="O13" s="3"/>
    </row>
    <row r="14" spans="1:20" hidden="1" x14ac:dyDescent="0.25">
      <c r="A14" s="32" t="str">
        <f t="shared" si="5"/>
        <v/>
      </c>
      <c r="B14" s="33" t="str">
        <f t="shared" si="15"/>
        <v/>
      </c>
      <c r="C14" s="34" t="str">
        <f t="shared" si="6"/>
        <v/>
      </c>
      <c r="D14" s="35" t="str">
        <f>IF(C14="","",IF(C14&lt;0.01,"",IF(C14&gt;20000,5%,IF(C14&gt;15000,10%,IF(C14&gt;10000,15%,IF(C14&gt;5000,20%,IF(C14&gt;1000,30%,IF(C14&gt;500,40%,50%))))))))</f>
        <v/>
      </c>
      <c r="E14" s="34" t="str">
        <f t="shared" si="7"/>
        <v/>
      </c>
      <c r="F14" s="34" t="str">
        <f t="shared" si="8"/>
        <v/>
      </c>
      <c r="G14" s="34" t="str">
        <f t="shared" si="9"/>
        <v/>
      </c>
      <c r="H14" s="36" t="str">
        <f t="shared" si="10"/>
        <v/>
      </c>
      <c r="I14" s="33" t="str">
        <f t="shared" si="11"/>
        <v/>
      </c>
      <c r="J14" s="34" t="str">
        <f t="shared" si="3"/>
        <v/>
      </c>
      <c r="K14" s="36" t="str">
        <f t="shared" si="12"/>
        <v/>
      </c>
      <c r="L14" s="36" t="str">
        <f t="shared" si="4"/>
        <v/>
      </c>
      <c r="M14" s="36" t="str">
        <f t="shared" si="13"/>
        <v/>
      </c>
      <c r="N14" s="36" t="str">
        <f t="shared" si="14"/>
        <v/>
      </c>
    </row>
    <row r="15" spans="1:20" s="7" customFormat="1" hidden="1" x14ac:dyDescent="0.25">
      <c r="A15" s="37"/>
      <c r="B15" s="37">
        <f>MAX(B8:B14)</f>
        <v>6</v>
      </c>
      <c r="C15" s="38"/>
      <c r="D15" s="39"/>
      <c r="E15" s="38">
        <f>SUM(E8:E14)</f>
        <v>882.5</v>
      </c>
      <c r="F15" s="38">
        <f>SUM(F8:F14)</f>
        <v>100</v>
      </c>
      <c r="G15" s="38">
        <f>SUM(G8:G14)</f>
        <v>982.5</v>
      </c>
      <c r="H15" s="38"/>
      <c r="I15" s="37"/>
      <c r="J15" s="38">
        <f>SUM(J8:J14)</f>
        <v>766.33075193993636</v>
      </c>
      <c r="K15" s="40">
        <f>SUM(K8:K14)</f>
        <v>2.9120568573717573</v>
      </c>
      <c r="L15" s="40">
        <f>SUM(L8:L14)</f>
        <v>12.169973842215523</v>
      </c>
      <c r="M15" s="40">
        <f>SUM(M8:M14)</f>
        <v>15.082030699587282</v>
      </c>
      <c r="N15" s="40">
        <f t="shared" ref="N15" si="27">J15-K15-L15</f>
        <v>751.24872124034903</v>
      </c>
      <c r="O15" s="48"/>
      <c r="R15" s="46"/>
      <c r="S15" s="46"/>
    </row>
    <row r="16" spans="1:20" hidden="1" x14ac:dyDescent="0.25">
      <c r="C16" s="1"/>
      <c r="D16" s="2"/>
      <c r="E16" s="1"/>
      <c r="F16" s="1"/>
      <c r="G16" s="1"/>
      <c r="H16" s="3"/>
    </row>
    <row r="17" spans="1:24" hidden="1" x14ac:dyDescent="0.25">
      <c r="A17" s="33" t="s">
        <v>85</v>
      </c>
      <c r="B17" s="41">
        <v>2.0400000000000001E-2</v>
      </c>
      <c r="C17" s="41">
        <f>(1+B17)^(1/30)</f>
        <v>1.0006733835304773</v>
      </c>
      <c r="J17" s="3"/>
      <c r="L17" s="3"/>
      <c r="M17" s="3"/>
    </row>
    <row r="18" spans="1:24" hidden="1" x14ac:dyDescent="0.25">
      <c r="A18" s="33" t="s">
        <v>86</v>
      </c>
      <c r="B18" s="42">
        <f>H29</f>
        <v>0.2742</v>
      </c>
      <c r="C18" s="1"/>
      <c r="D18" s="2"/>
      <c r="E18" s="1"/>
      <c r="F18" s="1"/>
      <c r="G18" s="1"/>
      <c r="H18" s="3">
        <v>500.01</v>
      </c>
      <c r="I18">
        <v>50</v>
      </c>
      <c r="J18" s="3">
        <f>I18-H18</f>
        <v>-450.01</v>
      </c>
      <c r="O18" s="8"/>
    </row>
    <row r="19" spans="1:24" hidden="1" x14ac:dyDescent="0.25">
      <c r="A19" s="33" t="s">
        <v>13</v>
      </c>
      <c r="B19" s="41">
        <v>3.8E-3</v>
      </c>
      <c r="C19" s="1"/>
      <c r="D19" s="2"/>
      <c r="E19" s="1"/>
      <c r="F19" s="1"/>
      <c r="G19" s="1"/>
      <c r="H19" s="3">
        <f>H18-50</f>
        <v>450.01</v>
      </c>
    </row>
    <row r="20" spans="1:24" hidden="1" x14ac:dyDescent="0.25">
      <c r="A20" s="33" t="s">
        <v>14</v>
      </c>
      <c r="B20" s="108">
        <v>8.2000000000000001E-5</v>
      </c>
      <c r="C20" s="1"/>
      <c r="D20" s="2"/>
      <c r="E20" s="1"/>
      <c r="F20" s="1"/>
      <c r="G20" s="1"/>
      <c r="H20" s="3"/>
    </row>
    <row r="21" spans="1:24" hidden="1" x14ac:dyDescent="0.25">
      <c r="A21" s="33" t="s">
        <v>15</v>
      </c>
      <c r="B21" s="36">
        <f>K15+L15</f>
        <v>15.08203069958728</v>
      </c>
      <c r="C21" s="1"/>
      <c r="D21" s="2"/>
      <c r="E21" s="1"/>
      <c r="F21" s="1"/>
      <c r="G21" s="1"/>
      <c r="H21" s="3"/>
    </row>
    <row r="22" spans="1:24" hidden="1" x14ac:dyDescent="0.25">
      <c r="A22" s="33" t="s">
        <v>16</v>
      </c>
      <c r="B22" s="36">
        <f>G15-K15-L15-N15</f>
        <v>216.16924806006364</v>
      </c>
      <c r="C22" s="1"/>
      <c r="D22" s="2"/>
      <c r="E22" s="1"/>
      <c r="F22" s="1"/>
      <c r="G22" s="1"/>
      <c r="H22" s="3"/>
    </row>
    <row r="23" spans="1:24" hidden="1" x14ac:dyDescent="0.25">
      <c r="A23" s="33" t="s">
        <v>83</v>
      </c>
      <c r="B23" s="41">
        <f>C29</f>
        <v>2.2343859904793817E-2</v>
      </c>
      <c r="C23" s="1"/>
      <c r="D23" s="2"/>
      <c r="E23" s="1"/>
      <c r="F23" s="1"/>
      <c r="G23" s="1"/>
      <c r="H23" s="3"/>
    </row>
    <row r="24" spans="1:24" hidden="1" x14ac:dyDescent="0.25">
      <c r="A24" s="33" t="s">
        <v>84</v>
      </c>
      <c r="B24" s="41">
        <f>D29</f>
        <v>0.3085</v>
      </c>
      <c r="C24" s="1"/>
      <c r="D24" s="2"/>
      <c r="E24" s="1"/>
      <c r="F24" s="1"/>
      <c r="G24" s="1"/>
      <c r="H24" s="3"/>
      <c r="N24" s="87"/>
      <c r="T24" s="9"/>
      <c r="U24" s="9"/>
      <c r="V24" s="9"/>
      <c r="W24" s="9"/>
      <c r="X24" s="9"/>
    </row>
    <row r="25" spans="1:24" hidden="1" x14ac:dyDescent="0.25">
      <c r="B25" s="3"/>
      <c r="C25" s="1"/>
      <c r="D25" s="2"/>
      <c r="E25" s="1"/>
      <c r="F25" s="1"/>
      <c r="G25" s="1"/>
      <c r="H25" s="3"/>
      <c r="N25" s="87"/>
    </row>
    <row r="26" spans="1:24" hidden="1" x14ac:dyDescent="0.25">
      <c r="B26" s="3"/>
      <c r="C26" s="1"/>
      <c r="D26" s="2"/>
      <c r="E26" s="1"/>
      <c r="F26" s="1"/>
      <c r="G26" s="1"/>
      <c r="H26" s="3"/>
      <c r="N26" s="87"/>
    </row>
    <row r="27" spans="1:24" hidden="1" x14ac:dyDescent="0.25">
      <c r="B27" s="3"/>
      <c r="C27" s="1"/>
      <c r="D27" s="2"/>
      <c r="E27" s="1"/>
      <c r="F27" s="1"/>
      <c r="G27" s="1"/>
      <c r="H27" s="3"/>
      <c r="J27" s="91"/>
      <c r="K27" s="91"/>
      <c r="L27" s="91"/>
      <c r="M27" s="91"/>
      <c r="N27" s="92"/>
      <c r="O27" s="91"/>
      <c r="P27" s="91"/>
      <c r="Q27" s="91"/>
    </row>
    <row r="28" spans="1:24" s="5" customFormat="1" hidden="1" x14ac:dyDescent="0.25">
      <c r="B28" s="180" t="s">
        <v>61</v>
      </c>
      <c r="C28" s="50" t="s">
        <v>62</v>
      </c>
      <c r="D28" s="51" t="s">
        <v>63</v>
      </c>
      <c r="E28" s="10"/>
      <c r="F28" s="181" t="s">
        <v>64</v>
      </c>
      <c r="G28" s="50" t="s">
        <v>62</v>
      </c>
      <c r="H28" s="51" t="s">
        <v>63</v>
      </c>
      <c r="J28" s="93"/>
      <c r="M28" s="93"/>
      <c r="N28" s="94"/>
      <c r="O28" s="100" t="s">
        <v>121</v>
      </c>
      <c r="P28" s="101">
        <f>J15</f>
        <v>766.33075193993636</v>
      </c>
      <c r="Q28" s="93"/>
      <c r="R28" s="47"/>
      <c r="S28" s="47"/>
    </row>
    <row r="29" spans="1:24" s="5" customFormat="1" hidden="1" x14ac:dyDescent="0.25">
      <c r="B29" s="180"/>
      <c r="C29" s="52">
        <f>IF(B4=7,(XIRR(D33:D40,C33:C40,0)+1)^(30/365)-1,IF(B4=6,(XIRR(D33:D39,C33:C39,0)+1)^(30/365)-1,IF(B4=5,(XIRR(D33:D38,C33:C38,0)+1)^(30/365)-1,IF(B4=4,(XIRR(D33:D37,C33:C37,0)+1)^(30/365)-1,IF(B4=3,(XIRR(D33:D36,C33:C36,0)+1)^(30/365)-1,IF(B4=2,(XIRR(D33:D35,C33:C35,0)+1)^(30/365)-1,IF(B4=1,(XIRR(D33:D34,C33:C34,0)+1)^(30/365)-1,"")))))))</f>
        <v>2.2343859904793817E-2</v>
      </c>
      <c r="D29" s="52">
        <f>ROUND((((C29+1)^(365/30)-1)),4)</f>
        <v>0.3085</v>
      </c>
      <c r="E29" s="10"/>
      <c r="F29" s="181"/>
      <c r="G29" s="52">
        <f>IF(B4=7,(XIRR(H33:H40,G33:G40,0)+1)^(30/365)-1,IF(B4=6,(XIRR(H33:H39,G33:G39,0)+1)^(30/365)-1,IF(B4=5,(XIRR(H33:H38,G33:G38,0)+1)^(30/365)-1,IF(B4=4,(XIRR(H33:H37,G33:G37,0)+1)^(30/365)-1,IF(B4=3,(XIRR(H33:H36,G33:G36,0)+1)^(30/365)-1,IF(B4=2,(XIRR(H33:H35,G33:G35,0)+1)^(30/365)-1,IF(B4=1,(XIRR(H33:H34,G33:G34,0)+1)^(30/365)-1,"")))))))</f>
        <v>2.0399999759398879E-2</v>
      </c>
      <c r="H29" s="52">
        <f>ROUND((((G29+1)^(12)-1)),4)</f>
        <v>0.2742</v>
      </c>
      <c r="J29" s="93"/>
      <c r="M29" s="93"/>
      <c r="N29" s="94"/>
      <c r="O29" s="100" t="s">
        <v>119</v>
      </c>
      <c r="P29" s="101">
        <f>M15</f>
        <v>15.082030699587282</v>
      </c>
      <c r="Q29" s="93"/>
      <c r="R29" s="47"/>
      <c r="S29" s="47"/>
    </row>
    <row r="30" spans="1:24" hidden="1" x14ac:dyDescent="0.25">
      <c r="C30" s="1"/>
      <c r="D30" s="2"/>
      <c r="E30" s="1"/>
      <c r="F30" s="1"/>
      <c r="G30" s="1"/>
      <c r="H30" s="3"/>
      <c r="J30" s="91"/>
      <c r="M30" s="95"/>
      <c r="N30" s="95"/>
      <c r="O30" s="100" t="s">
        <v>134</v>
      </c>
      <c r="P30" s="101">
        <v>0</v>
      </c>
      <c r="Q30" s="91"/>
    </row>
    <row r="31" spans="1:24" hidden="1" x14ac:dyDescent="0.25">
      <c r="C31" s="1"/>
      <c r="D31" s="2"/>
      <c r="E31" s="1"/>
      <c r="F31" s="1"/>
      <c r="G31" s="1"/>
      <c r="H31" s="3"/>
      <c r="J31" s="91"/>
      <c r="M31" s="96"/>
      <c r="N31" s="97"/>
      <c r="O31" s="100" t="s">
        <v>135</v>
      </c>
      <c r="P31" s="102">
        <f>B22</f>
        <v>216.16924806006364</v>
      </c>
      <c r="Q31" s="91"/>
    </row>
    <row r="32" spans="1:24" hidden="1" x14ac:dyDescent="0.25">
      <c r="C32" s="182" t="s">
        <v>61</v>
      </c>
      <c r="D32" s="182"/>
      <c r="E32" s="1"/>
      <c r="F32" s="1"/>
      <c r="G32" s="182" t="s">
        <v>64</v>
      </c>
      <c r="H32" s="182"/>
      <c r="J32" s="91"/>
      <c r="M32" s="91"/>
      <c r="N32" s="98"/>
      <c r="O32" s="103" t="s">
        <v>117</v>
      </c>
      <c r="P32" s="103">
        <f>B15</f>
        <v>6</v>
      </c>
      <c r="Q32" s="91"/>
    </row>
    <row r="33" spans="3:17" hidden="1" x14ac:dyDescent="0.25">
      <c r="C33" s="49">
        <f>B1</f>
        <v>44560</v>
      </c>
      <c r="D33" s="36">
        <f>-N15</f>
        <v>-751.24872124034903</v>
      </c>
      <c r="E33" s="1"/>
      <c r="F33" s="1"/>
      <c r="G33" s="49">
        <f>B1</f>
        <v>44560</v>
      </c>
      <c r="H33" s="36">
        <f>-J15</f>
        <v>-766.33075193993636</v>
      </c>
      <c r="J33" s="91"/>
      <c r="M33" s="91"/>
      <c r="N33" s="98"/>
      <c r="O33" s="100" t="s">
        <v>116</v>
      </c>
      <c r="P33" s="104">
        <f>MIN(A8:A14)</f>
        <v>44621</v>
      </c>
      <c r="Q33" s="91"/>
    </row>
    <row r="34" spans="3:17" hidden="1" x14ac:dyDescent="0.25">
      <c r="C34" s="49">
        <f t="shared" ref="C34:C40" si="28">A8</f>
        <v>44621</v>
      </c>
      <c r="D34" s="36">
        <f t="shared" ref="D34:D40" si="29">G8</f>
        <v>450</v>
      </c>
      <c r="E34" s="1"/>
      <c r="F34" s="1"/>
      <c r="G34" s="49">
        <f t="shared" ref="G34:G40" si="30">A8</f>
        <v>44621</v>
      </c>
      <c r="H34" s="36">
        <f t="shared" ref="H34:H40" si="31">G8</f>
        <v>450</v>
      </c>
      <c r="J34" s="91"/>
      <c r="M34" s="91"/>
      <c r="N34" s="98"/>
      <c r="O34" s="100" t="s">
        <v>136</v>
      </c>
      <c r="P34" s="105">
        <f>MAX(A8:A14)</f>
        <v>46447</v>
      </c>
      <c r="Q34" s="91"/>
    </row>
    <row r="35" spans="3:17" hidden="1" x14ac:dyDescent="0.25">
      <c r="C35" s="49">
        <f t="shared" si="28"/>
        <v>44986</v>
      </c>
      <c r="D35" s="36">
        <f t="shared" si="29"/>
        <v>270</v>
      </c>
      <c r="E35" s="1"/>
      <c r="F35" s="1"/>
      <c r="G35" s="49">
        <f t="shared" si="30"/>
        <v>44986</v>
      </c>
      <c r="H35" s="36">
        <f t="shared" si="31"/>
        <v>270</v>
      </c>
      <c r="J35" s="91"/>
      <c r="M35" s="95"/>
      <c r="N35" s="95"/>
      <c r="O35" s="179" t="s">
        <v>138</v>
      </c>
      <c r="P35" s="106">
        <f>B17</f>
        <v>2.0400000000000001E-2</v>
      </c>
      <c r="Q35" s="91"/>
    </row>
    <row r="36" spans="3:17" hidden="1" x14ac:dyDescent="0.25">
      <c r="C36" s="49">
        <f t="shared" si="28"/>
        <v>45352</v>
      </c>
      <c r="D36" s="36">
        <f t="shared" si="29"/>
        <v>140</v>
      </c>
      <c r="E36" s="1"/>
      <c r="F36" s="1"/>
      <c r="G36" s="49">
        <f t="shared" si="30"/>
        <v>45352</v>
      </c>
      <c r="H36" s="36">
        <f t="shared" si="31"/>
        <v>140</v>
      </c>
      <c r="J36" s="91"/>
      <c r="M36" s="95"/>
      <c r="N36" s="95"/>
      <c r="O36" s="179"/>
      <c r="P36" s="106">
        <f>B18</f>
        <v>0.2742</v>
      </c>
      <c r="Q36" s="91"/>
    </row>
    <row r="37" spans="3:17" hidden="1" x14ac:dyDescent="0.25">
      <c r="C37" s="49">
        <f t="shared" si="28"/>
        <v>45717</v>
      </c>
      <c r="D37" s="36">
        <f t="shared" si="29"/>
        <v>70</v>
      </c>
      <c r="E37" s="1"/>
      <c r="F37" s="1"/>
      <c r="G37" s="49">
        <f t="shared" si="30"/>
        <v>45717</v>
      </c>
      <c r="H37" s="36">
        <f t="shared" si="31"/>
        <v>70</v>
      </c>
      <c r="J37" s="91"/>
      <c r="M37" s="99"/>
      <c r="N37" s="95"/>
      <c r="O37" s="179" t="s">
        <v>137</v>
      </c>
      <c r="P37" s="107">
        <f>B23</f>
        <v>2.2343859904793817E-2</v>
      </c>
      <c r="Q37" s="91"/>
    </row>
    <row r="38" spans="3:17" hidden="1" x14ac:dyDescent="0.25">
      <c r="C38" s="49">
        <f t="shared" si="28"/>
        <v>46082</v>
      </c>
      <c r="D38" s="36">
        <f t="shared" si="29"/>
        <v>35</v>
      </c>
      <c r="E38" s="1"/>
      <c r="F38" s="1"/>
      <c r="G38" s="49">
        <f t="shared" si="30"/>
        <v>46082</v>
      </c>
      <c r="H38" s="36">
        <f t="shared" si="31"/>
        <v>35</v>
      </c>
      <c r="J38" s="91"/>
      <c r="M38" s="99"/>
      <c r="N38" s="95"/>
      <c r="O38" s="179"/>
      <c r="P38" s="107">
        <f>B24</f>
        <v>0.3085</v>
      </c>
      <c r="Q38" s="91"/>
    </row>
    <row r="39" spans="3:17" hidden="1" x14ac:dyDescent="0.25">
      <c r="C39" s="49">
        <f t="shared" si="28"/>
        <v>46447</v>
      </c>
      <c r="D39" s="36">
        <f t="shared" si="29"/>
        <v>17.5</v>
      </c>
      <c r="E39" s="1"/>
      <c r="F39" s="1"/>
      <c r="G39" s="49">
        <f t="shared" si="30"/>
        <v>46447</v>
      </c>
      <c r="H39" s="36">
        <f t="shared" si="31"/>
        <v>17.5</v>
      </c>
      <c r="J39" s="91"/>
      <c r="M39" s="99"/>
      <c r="N39" s="97"/>
      <c r="O39" s="100" t="s">
        <v>120</v>
      </c>
      <c r="P39" s="102">
        <f>G15</f>
        <v>982.5</v>
      </c>
      <c r="Q39" s="91"/>
    </row>
    <row r="40" spans="3:17" hidden="1" x14ac:dyDescent="0.25">
      <c r="C40" s="49" t="str">
        <f t="shared" si="28"/>
        <v/>
      </c>
      <c r="D40" s="36" t="str">
        <f t="shared" si="29"/>
        <v/>
      </c>
      <c r="E40" s="1"/>
      <c r="F40" s="1"/>
      <c r="G40" s="49" t="str">
        <f t="shared" si="30"/>
        <v/>
      </c>
      <c r="H40" s="36" t="str">
        <f t="shared" si="31"/>
        <v/>
      </c>
      <c r="J40" s="91"/>
      <c r="M40" s="91"/>
      <c r="N40" s="98"/>
      <c r="O40" s="100" t="s">
        <v>115</v>
      </c>
      <c r="P40" s="102">
        <f>N15</f>
        <v>751.24872124034903</v>
      </c>
      <c r="Q40" s="91"/>
    </row>
    <row r="41" spans="3:17" hidden="1" x14ac:dyDescent="0.25">
      <c r="C41" s="1"/>
      <c r="D41" s="2"/>
      <c r="E41" s="1"/>
      <c r="F41" s="1"/>
      <c r="G41" s="1"/>
      <c r="H41" s="3"/>
      <c r="J41" s="91"/>
      <c r="M41" s="91"/>
      <c r="N41" s="91"/>
      <c r="O41" s="91"/>
      <c r="P41" s="91"/>
      <c r="Q41" s="91"/>
    </row>
    <row r="42" spans="3:17" hidden="1" x14ac:dyDescent="0.25">
      <c r="C42" s="1"/>
      <c r="D42" s="2"/>
      <c r="E42" s="1"/>
      <c r="F42" s="1"/>
      <c r="G42" s="1"/>
      <c r="H42" s="3"/>
      <c r="J42" s="91"/>
      <c r="K42" s="99"/>
      <c r="L42" s="99"/>
      <c r="M42" s="95"/>
      <c r="N42" s="95"/>
      <c r="O42" s="91"/>
      <c r="P42" s="91"/>
      <c r="Q42" s="91"/>
    </row>
    <row r="43" spans="3:17" hidden="1" x14ac:dyDescent="0.25">
      <c r="C43" s="1"/>
      <c r="D43" s="2"/>
      <c r="E43" s="1"/>
      <c r="F43" s="1"/>
      <c r="G43" s="1"/>
      <c r="H43" s="3"/>
      <c r="J43" s="91"/>
      <c r="L43" s="91"/>
      <c r="M43" s="95"/>
      <c r="N43" s="95"/>
      <c r="O43" s="91"/>
      <c r="P43" s="91"/>
      <c r="Q43" s="91"/>
    </row>
    <row r="44" spans="3:17" hidden="1" x14ac:dyDescent="0.25">
      <c r="C44" s="1"/>
      <c r="D44" s="2"/>
      <c r="E44" s="1"/>
      <c r="F44" s="1"/>
      <c r="G44" s="1"/>
      <c r="H44" s="3"/>
      <c r="J44" s="91"/>
      <c r="K44" s="95"/>
      <c r="L44" s="91"/>
      <c r="M44" s="95"/>
      <c r="N44" s="99"/>
      <c r="O44" s="91"/>
      <c r="P44" s="91"/>
      <c r="Q44" s="91"/>
    </row>
    <row r="45" spans="3:17" hidden="1" x14ac:dyDescent="0.25">
      <c r="C45" s="1"/>
      <c r="D45" s="2"/>
      <c r="E45" s="1"/>
      <c r="F45" s="1"/>
      <c r="G45" s="1"/>
      <c r="H45" s="3"/>
      <c r="J45" s="91"/>
      <c r="K45" s="91"/>
      <c r="L45" s="91"/>
      <c r="M45" s="91"/>
      <c r="N45" s="91"/>
      <c r="O45" s="91"/>
      <c r="P45" s="91"/>
      <c r="Q45" s="91"/>
    </row>
    <row r="46" spans="3:17" hidden="1" x14ac:dyDescent="0.25">
      <c r="C46" s="1"/>
      <c r="D46" s="2"/>
      <c r="E46" s="1"/>
      <c r="F46" s="1"/>
      <c r="G46" s="1"/>
      <c r="H46" s="3"/>
      <c r="J46" s="91"/>
      <c r="K46" s="91"/>
      <c r="L46" s="91"/>
      <c r="M46" s="91"/>
      <c r="N46" s="91"/>
      <c r="O46" s="91"/>
      <c r="P46" s="91"/>
      <c r="Q46" s="91"/>
    </row>
    <row r="47" spans="3:17" hidden="1" x14ac:dyDescent="0.25">
      <c r="C47" s="1"/>
      <c r="D47" s="2"/>
      <c r="E47" s="1"/>
      <c r="F47" s="1"/>
      <c r="G47" s="1"/>
      <c r="H47" s="3"/>
      <c r="J47" s="91"/>
      <c r="K47" s="91"/>
      <c r="L47" s="91"/>
      <c r="M47" s="91"/>
      <c r="N47" s="91"/>
      <c r="O47" s="91"/>
      <c r="P47" s="91"/>
      <c r="Q47" s="91"/>
    </row>
    <row r="48" spans="3:17" hidden="1" x14ac:dyDescent="0.25">
      <c r="C48" s="1"/>
      <c r="D48" s="2"/>
      <c r="E48" s="1"/>
      <c r="F48" s="1"/>
      <c r="G48" s="1"/>
      <c r="H48" s="3"/>
      <c r="J48" s="91"/>
      <c r="K48" s="91"/>
      <c r="L48" s="91"/>
      <c r="M48" s="91"/>
      <c r="N48" s="91"/>
      <c r="O48" s="91"/>
      <c r="P48" s="91"/>
      <c r="Q48" s="91"/>
    </row>
    <row r="49" spans="3:17" hidden="1" x14ac:dyDescent="0.25">
      <c r="C49" s="1"/>
      <c r="D49" s="2"/>
      <c r="E49" s="1"/>
      <c r="F49" s="1"/>
      <c r="G49" s="1"/>
      <c r="H49" s="3"/>
      <c r="J49" s="91"/>
      <c r="K49" s="91"/>
      <c r="L49" s="91"/>
      <c r="M49" s="91"/>
      <c r="N49" s="91"/>
      <c r="O49" s="91"/>
      <c r="P49" s="91"/>
      <c r="Q49" s="91"/>
    </row>
    <row r="50" spans="3:17" hidden="1" x14ac:dyDescent="0.25">
      <c r="C50" s="1"/>
      <c r="D50" s="2"/>
      <c r="E50" s="1"/>
      <c r="F50" s="1"/>
      <c r="G50" s="1"/>
      <c r="H50" s="3"/>
      <c r="J50" s="91"/>
      <c r="K50" s="91"/>
      <c r="L50" s="91"/>
      <c r="M50" s="91"/>
      <c r="N50" s="91"/>
      <c r="O50" s="91"/>
      <c r="P50" s="91"/>
      <c r="Q50" s="91"/>
    </row>
    <row r="51" spans="3:17" hidden="1" x14ac:dyDescent="0.25">
      <c r="C51" s="1"/>
      <c r="D51" s="2"/>
      <c r="E51" s="1"/>
      <c r="F51" s="1"/>
      <c r="G51" s="1"/>
      <c r="H51" s="3"/>
      <c r="J51" s="91"/>
      <c r="M51" s="91"/>
      <c r="N51" s="91"/>
      <c r="O51" s="91"/>
      <c r="P51" s="91"/>
      <c r="Q51" s="91"/>
    </row>
    <row r="52" spans="3:17" hidden="1" x14ac:dyDescent="0.25">
      <c r="C52" s="1"/>
      <c r="D52" s="2"/>
      <c r="E52" s="1"/>
      <c r="F52" s="1"/>
      <c r="G52" s="1"/>
      <c r="H52" s="3"/>
      <c r="J52" s="91"/>
      <c r="M52" s="91"/>
      <c r="N52" s="91"/>
    </row>
    <row r="53" spans="3:17" hidden="1" x14ac:dyDescent="0.25">
      <c r="C53" s="1"/>
      <c r="D53" s="2"/>
      <c r="E53" s="1"/>
      <c r="F53" s="1"/>
      <c r="G53" s="1"/>
      <c r="H53" s="3"/>
    </row>
    <row r="54" spans="3:17" hidden="1" x14ac:dyDescent="0.25">
      <c r="C54" s="1"/>
      <c r="D54" s="2"/>
      <c r="E54" s="1"/>
      <c r="F54" s="1"/>
      <c r="G54" s="1"/>
      <c r="H54" s="3"/>
    </row>
    <row r="55" spans="3:17" hidden="1" x14ac:dyDescent="0.25">
      <c r="C55" s="1"/>
      <c r="D55" s="2"/>
      <c r="E55" s="1"/>
      <c r="F55" s="1"/>
      <c r="G55" s="1"/>
      <c r="H55" s="3"/>
    </row>
    <row r="56" spans="3:17" hidden="1" x14ac:dyDescent="0.25">
      <c r="C56" s="1"/>
      <c r="D56" s="2"/>
      <c r="E56" s="1"/>
      <c r="F56" s="1"/>
      <c r="G56" s="1"/>
      <c r="H56" s="3"/>
    </row>
    <row r="57" spans="3:17" hidden="1" x14ac:dyDescent="0.25">
      <c r="C57" s="1"/>
      <c r="D57" s="2"/>
      <c r="E57" s="1"/>
      <c r="F57" s="1"/>
      <c r="G57" s="1"/>
      <c r="H57" s="3"/>
    </row>
    <row r="58" spans="3:17" x14ac:dyDescent="0.25">
      <c r="C58" s="1"/>
      <c r="D58" s="2"/>
      <c r="E58" s="1"/>
      <c r="F58" s="1"/>
      <c r="G58" s="1"/>
      <c r="H58" s="3"/>
    </row>
    <row r="59" spans="3:17" x14ac:dyDescent="0.25">
      <c r="C59" s="1"/>
      <c r="D59" s="2"/>
      <c r="E59" s="1"/>
      <c r="F59" s="1"/>
      <c r="G59" s="1"/>
      <c r="H59" s="3"/>
    </row>
    <row r="60" spans="3:17" x14ac:dyDescent="0.25">
      <c r="C60" s="1"/>
      <c r="D60" s="2"/>
      <c r="E60" s="1"/>
      <c r="F60" s="1"/>
      <c r="G60" s="1"/>
      <c r="H60" s="3"/>
    </row>
    <row r="61" spans="3:17" x14ac:dyDescent="0.25">
      <c r="C61" s="1"/>
      <c r="D61" s="2"/>
      <c r="E61" s="1"/>
      <c r="F61" s="1"/>
      <c r="G61" s="1"/>
      <c r="H61" s="3"/>
    </row>
    <row r="62" spans="3:17" x14ac:dyDescent="0.25">
      <c r="C62" s="1"/>
      <c r="D62" s="2"/>
      <c r="E62" s="1"/>
      <c r="F62" s="1"/>
      <c r="G62" s="1"/>
      <c r="H62" s="3"/>
    </row>
    <row r="63" spans="3:17" x14ac:dyDescent="0.25">
      <c r="C63" s="1"/>
      <c r="D63" s="2"/>
      <c r="E63" s="1"/>
      <c r="F63" s="1"/>
      <c r="G63" s="1"/>
      <c r="H63" s="3"/>
    </row>
    <row r="64" spans="3:17" x14ac:dyDescent="0.25">
      <c r="C64" s="1"/>
      <c r="D64" s="2"/>
      <c r="E64" s="1"/>
      <c r="F64" s="1"/>
      <c r="G64" s="1"/>
      <c r="H64" s="3"/>
    </row>
    <row r="65" spans="3:8" x14ac:dyDescent="0.25">
      <c r="C65" s="1"/>
      <c r="D65" s="2"/>
      <c r="E65" s="1"/>
      <c r="F65" s="1"/>
      <c r="G65" s="1"/>
      <c r="H65" s="3"/>
    </row>
    <row r="66" spans="3:8" x14ac:dyDescent="0.25">
      <c r="C66" s="1"/>
      <c r="D66" s="2"/>
      <c r="E66" s="1"/>
      <c r="F66" s="1"/>
      <c r="G66" s="1"/>
      <c r="H66" s="3"/>
    </row>
    <row r="67" spans="3:8" x14ac:dyDescent="0.25">
      <c r="C67" s="1"/>
      <c r="D67" s="2"/>
      <c r="E67" s="1"/>
      <c r="F67" s="1"/>
      <c r="G67" s="1"/>
      <c r="H67" s="3"/>
    </row>
    <row r="68" spans="3:8" x14ac:dyDescent="0.25">
      <c r="C68" s="1"/>
      <c r="D68" s="2"/>
      <c r="E68" s="1"/>
      <c r="F68" s="1"/>
      <c r="G68" s="1"/>
      <c r="H68" s="3"/>
    </row>
    <row r="69" spans="3:8" x14ac:dyDescent="0.25">
      <c r="C69" s="1"/>
      <c r="D69" s="2"/>
      <c r="E69" s="1"/>
      <c r="F69" s="1"/>
      <c r="G69" s="1"/>
      <c r="H69" s="3"/>
    </row>
    <row r="70" spans="3:8" x14ac:dyDescent="0.25">
      <c r="C70" s="1"/>
      <c r="D70" s="2"/>
      <c r="E70" s="1"/>
      <c r="F70" s="1"/>
      <c r="G70" s="1"/>
      <c r="H70" s="3"/>
    </row>
    <row r="71" spans="3:8" x14ac:dyDescent="0.25">
      <c r="C71" s="1"/>
      <c r="D71" s="2"/>
      <c r="E71" s="1"/>
      <c r="F71" s="1"/>
      <c r="G71" s="1"/>
      <c r="H71" s="3"/>
    </row>
    <row r="72" spans="3:8" x14ac:dyDescent="0.25">
      <c r="C72" s="1"/>
      <c r="D72" s="2"/>
      <c r="E72" s="1"/>
      <c r="F72" s="1"/>
      <c r="G72" s="1"/>
      <c r="H72" s="3"/>
    </row>
    <row r="73" spans="3:8" x14ac:dyDescent="0.25">
      <c r="C73" s="1"/>
      <c r="D73" s="2"/>
      <c r="E73" s="1"/>
      <c r="F73" s="1"/>
      <c r="G73" s="1"/>
      <c r="H73" s="3"/>
    </row>
    <row r="74" spans="3:8" x14ac:dyDescent="0.25">
      <c r="C74" s="1"/>
      <c r="D74" s="2"/>
      <c r="E74" s="1"/>
      <c r="F74" s="1"/>
      <c r="G74" s="1"/>
      <c r="H74" s="3"/>
    </row>
    <row r="75" spans="3:8" x14ac:dyDescent="0.25">
      <c r="C75" s="1"/>
      <c r="D75" s="2"/>
      <c r="E75" s="1"/>
      <c r="F75" s="1"/>
      <c r="G75" s="1"/>
      <c r="H75" s="3"/>
    </row>
    <row r="76" spans="3:8" x14ac:dyDescent="0.25">
      <c r="C76" s="1"/>
      <c r="D76" s="2"/>
      <c r="E76" s="1"/>
      <c r="F76" s="1"/>
      <c r="G76" s="1"/>
      <c r="H76" s="3"/>
    </row>
    <row r="77" spans="3:8" x14ac:dyDescent="0.25">
      <c r="C77" s="1"/>
      <c r="D77" s="2"/>
      <c r="E77" s="1"/>
      <c r="F77" s="1"/>
      <c r="G77" s="1"/>
      <c r="H77" s="3"/>
    </row>
    <row r="78" spans="3:8" x14ac:dyDescent="0.25">
      <c r="C78" s="1"/>
      <c r="D78" s="2"/>
      <c r="E78" s="1"/>
      <c r="F78" s="1"/>
      <c r="G78" s="1"/>
      <c r="H78" s="3"/>
    </row>
    <row r="79" spans="3:8" x14ac:dyDescent="0.25">
      <c r="C79" s="1"/>
      <c r="D79" s="2"/>
      <c r="E79" s="1"/>
      <c r="F79" s="1"/>
      <c r="G79" s="1"/>
      <c r="H79" s="3"/>
    </row>
    <row r="80" spans="3:8" x14ac:dyDescent="0.25">
      <c r="C80" s="1"/>
      <c r="D80" s="2"/>
      <c r="E80" s="1"/>
      <c r="F80" s="1"/>
      <c r="G80" s="1"/>
      <c r="H80" s="3"/>
    </row>
    <row r="81" spans="3:8" x14ac:dyDescent="0.25">
      <c r="C81" s="1"/>
      <c r="D81" s="2"/>
      <c r="E81" s="1"/>
      <c r="F81" s="1"/>
      <c r="G81" s="1"/>
      <c r="H81" s="3"/>
    </row>
    <row r="82" spans="3:8" x14ac:dyDescent="0.25">
      <c r="C82" s="1"/>
      <c r="D82" s="2"/>
      <c r="E82" s="1"/>
      <c r="F82" s="1"/>
      <c r="G82" s="1"/>
      <c r="H82" s="3"/>
    </row>
    <row r="83" spans="3:8" x14ac:dyDescent="0.25">
      <c r="C83" s="1"/>
      <c r="D83" s="2"/>
      <c r="E83" s="1"/>
      <c r="F83" s="1"/>
      <c r="G83" s="1"/>
      <c r="H83" s="3"/>
    </row>
    <row r="84" spans="3:8" x14ac:dyDescent="0.25">
      <c r="C84" s="1"/>
      <c r="D84" s="2"/>
      <c r="E84" s="1"/>
      <c r="F84" s="1"/>
      <c r="G84" s="1"/>
      <c r="H84" s="3"/>
    </row>
    <row r="85" spans="3:8" x14ac:dyDescent="0.25">
      <c r="C85" s="1"/>
      <c r="D85" s="2"/>
      <c r="E85" s="1"/>
      <c r="F85" s="1"/>
      <c r="G85" s="1"/>
      <c r="H85" s="3"/>
    </row>
    <row r="86" spans="3:8" x14ac:dyDescent="0.25">
      <c r="C86" s="1"/>
      <c r="D86" s="2"/>
      <c r="E86" s="1"/>
      <c r="F86" s="1"/>
      <c r="G86" s="1"/>
      <c r="H86" s="3"/>
    </row>
    <row r="87" spans="3:8" x14ac:dyDescent="0.25">
      <c r="C87" s="1"/>
      <c r="D87" s="2"/>
      <c r="E87" s="1"/>
      <c r="F87" s="1"/>
      <c r="G87" s="1"/>
      <c r="H87" s="3"/>
    </row>
    <row r="88" spans="3:8" x14ac:dyDescent="0.25">
      <c r="C88" s="1"/>
      <c r="D88" s="2"/>
      <c r="E88" s="1"/>
      <c r="F88" s="1"/>
      <c r="G88" s="1"/>
      <c r="H88" s="3"/>
    </row>
    <row r="89" spans="3:8" x14ac:dyDescent="0.25">
      <c r="C89" s="1"/>
      <c r="D89" s="2"/>
      <c r="E89" s="1"/>
      <c r="F89" s="1"/>
      <c r="G89" s="1"/>
      <c r="H89" s="3"/>
    </row>
    <row r="90" spans="3:8" x14ac:dyDescent="0.25">
      <c r="C90" s="1"/>
      <c r="D90" s="2"/>
      <c r="E90" s="1"/>
      <c r="F90" s="1"/>
      <c r="G90" s="1"/>
      <c r="H90" s="3"/>
    </row>
    <row r="91" spans="3:8" x14ac:dyDescent="0.25">
      <c r="C91" s="1"/>
      <c r="D91" s="2"/>
      <c r="E91" s="1"/>
      <c r="F91" s="1"/>
      <c r="G91" s="1"/>
      <c r="H91" s="3"/>
    </row>
    <row r="92" spans="3:8" x14ac:dyDescent="0.25">
      <c r="C92" s="1"/>
      <c r="D92" s="2"/>
      <c r="E92" s="1"/>
      <c r="F92" s="1"/>
      <c r="G92" s="1"/>
      <c r="H92" s="3"/>
    </row>
    <row r="93" spans="3:8" x14ac:dyDescent="0.25">
      <c r="C93" s="1"/>
      <c r="D93" s="2"/>
      <c r="E93" s="1"/>
      <c r="F93" s="1"/>
      <c r="G93" s="1"/>
      <c r="H93" s="3"/>
    </row>
    <row r="94" spans="3:8" x14ac:dyDescent="0.25">
      <c r="C94" s="1"/>
      <c r="D94" s="2"/>
      <c r="E94" s="1"/>
      <c r="F94" s="1"/>
      <c r="G94" s="1"/>
      <c r="H94" s="3"/>
    </row>
    <row r="95" spans="3:8" x14ac:dyDescent="0.25">
      <c r="C95" s="1"/>
      <c r="D95" s="2"/>
      <c r="E95" s="1"/>
      <c r="F95" s="1"/>
      <c r="G95" s="1"/>
      <c r="H95" s="3"/>
    </row>
    <row r="96" spans="3:8" x14ac:dyDescent="0.25">
      <c r="C96" s="1"/>
      <c r="D96" s="2"/>
      <c r="E96" s="1"/>
      <c r="F96" s="1"/>
      <c r="G96" s="1"/>
      <c r="H96" s="3"/>
    </row>
    <row r="97" spans="3:8" x14ac:dyDescent="0.25">
      <c r="C97" s="1"/>
      <c r="D97" s="2"/>
      <c r="E97" s="1"/>
      <c r="F97" s="1"/>
      <c r="G97" s="1"/>
      <c r="H97" s="3"/>
    </row>
    <row r="98" spans="3:8" x14ac:dyDescent="0.25">
      <c r="C98" s="1"/>
      <c r="D98" s="2"/>
      <c r="E98" s="1"/>
      <c r="F98" s="1"/>
      <c r="G98" s="1"/>
      <c r="H98" s="3"/>
    </row>
    <row r="99" spans="3:8" x14ac:dyDescent="0.25">
      <c r="C99" s="1"/>
      <c r="D99" s="2"/>
      <c r="E99" s="1"/>
      <c r="F99" s="1"/>
      <c r="G99" s="1"/>
      <c r="H99" s="3"/>
    </row>
    <row r="100" spans="3:8" x14ac:dyDescent="0.25">
      <c r="C100" s="1"/>
      <c r="D100" s="2"/>
      <c r="E100" s="1"/>
      <c r="F100" s="1"/>
      <c r="G100" s="1"/>
      <c r="H100" s="3"/>
    </row>
    <row r="101" spans="3:8" x14ac:dyDescent="0.25">
      <c r="C101" s="1"/>
      <c r="D101" s="2"/>
      <c r="E101" s="1"/>
      <c r="F101" s="1"/>
      <c r="G101" s="1"/>
      <c r="H101" s="3"/>
    </row>
    <row r="102" spans="3:8" x14ac:dyDescent="0.25">
      <c r="C102" s="1"/>
      <c r="D102" s="2"/>
      <c r="E102" s="1"/>
      <c r="F102" s="1"/>
      <c r="G102" s="1"/>
      <c r="H102" s="3"/>
    </row>
    <row r="103" spans="3:8" x14ac:dyDescent="0.25">
      <c r="C103" s="1"/>
      <c r="D103" s="2"/>
      <c r="E103" s="1"/>
      <c r="F103" s="1"/>
      <c r="G103" s="1"/>
      <c r="H103" s="3"/>
    </row>
    <row r="104" spans="3:8" x14ac:dyDescent="0.25">
      <c r="C104" s="1"/>
      <c r="D104" s="2"/>
      <c r="E104" s="1"/>
      <c r="F104" s="1"/>
      <c r="G104" s="1"/>
      <c r="H104" s="3"/>
    </row>
    <row r="105" spans="3:8" x14ac:dyDescent="0.25">
      <c r="C105" s="1"/>
      <c r="D105" s="2"/>
      <c r="E105" s="1"/>
      <c r="F105" s="1"/>
      <c r="G105" s="1"/>
      <c r="H105" s="3"/>
    </row>
    <row r="106" spans="3:8" x14ac:dyDescent="0.25">
      <c r="C106" s="1"/>
      <c r="D106" s="2"/>
      <c r="E106" s="1"/>
      <c r="F106" s="1"/>
      <c r="G106" s="1"/>
      <c r="H106" s="3"/>
    </row>
    <row r="107" spans="3:8" x14ac:dyDescent="0.25">
      <c r="C107" s="1"/>
      <c r="D107" s="2"/>
      <c r="E107" s="1"/>
      <c r="F107" s="1"/>
      <c r="G107" s="1"/>
      <c r="H107" s="3"/>
    </row>
    <row r="108" spans="3:8" x14ac:dyDescent="0.25">
      <c r="C108" s="1"/>
      <c r="D108" s="2"/>
      <c r="E108" s="1"/>
      <c r="F108" s="1"/>
      <c r="G108" s="1"/>
      <c r="H108" s="3"/>
    </row>
    <row r="109" spans="3:8" x14ac:dyDescent="0.25">
      <c r="C109" s="1"/>
      <c r="D109" s="2"/>
      <c r="E109" s="1"/>
      <c r="F109" s="1"/>
      <c r="G109" s="1"/>
      <c r="H109" s="3"/>
    </row>
    <row r="110" spans="3:8" x14ac:dyDescent="0.25">
      <c r="C110" s="1"/>
      <c r="D110" s="2"/>
      <c r="E110" s="1"/>
      <c r="F110" s="1"/>
      <c r="G110" s="1"/>
      <c r="H110" s="3"/>
    </row>
    <row r="111" spans="3:8" x14ac:dyDescent="0.25">
      <c r="C111" s="1"/>
      <c r="D111" s="2"/>
      <c r="E111" s="1"/>
      <c r="F111" s="1"/>
      <c r="G111" s="1"/>
      <c r="H111" s="3"/>
    </row>
    <row r="112" spans="3:8" x14ac:dyDescent="0.25">
      <c r="C112" s="1"/>
      <c r="D112" s="2"/>
      <c r="E112" s="1"/>
      <c r="F112" s="1"/>
      <c r="G112" s="1"/>
      <c r="H112" s="3"/>
    </row>
    <row r="113" spans="3:8" x14ac:dyDescent="0.25">
      <c r="C113" s="1"/>
      <c r="D113" s="2"/>
      <c r="E113" s="1"/>
      <c r="F113" s="1"/>
      <c r="G113" s="1"/>
      <c r="H113" s="3"/>
    </row>
    <row r="114" spans="3:8" x14ac:dyDescent="0.25">
      <c r="C114" s="1"/>
      <c r="D114" s="2"/>
      <c r="E114" s="1"/>
      <c r="F114" s="1"/>
      <c r="G114" s="1"/>
      <c r="H114" s="3"/>
    </row>
    <row r="115" spans="3:8" x14ac:dyDescent="0.25">
      <c r="C115" s="1"/>
      <c r="D115" s="2"/>
      <c r="E115" s="1"/>
      <c r="F115" s="1"/>
      <c r="G115" s="1"/>
      <c r="H115" s="3"/>
    </row>
    <row r="116" spans="3:8" x14ac:dyDescent="0.25">
      <c r="C116" s="1"/>
      <c r="D116" s="2"/>
      <c r="E116" s="1"/>
      <c r="F116" s="1"/>
      <c r="G116" s="1"/>
      <c r="H116" s="3"/>
    </row>
    <row r="117" spans="3:8" x14ac:dyDescent="0.25">
      <c r="C117" s="1"/>
      <c r="D117" s="2"/>
      <c r="E117" s="1"/>
      <c r="F117" s="1"/>
      <c r="G117" s="1"/>
      <c r="H117" s="3"/>
    </row>
    <row r="118" spans="3:8" x14ac:dyDescent="0.25">
      <c r="C118" s="1"/>
      <c r="D118" s="2"/>
      <c r="E118" s="1"/>
      <c r="F118" s="1"/>
      <c r="G118" s="1"/>
      <c r="H118" s="3"/>
    </row>
    <row r="119" spans="3:8" x14ac:dyDescent="0.25">
      <c r="C119" s="1"/>
      <c r="D119" s="2"/>
      <c r="E119" s="1"/>
      <c r="F119" s="1"/>
      <c r="G119" s="1"/>
      <c r="H119" s="3"/>
    </row>
    <row r="120" spans="3:8" x14ac:dyDescent="0.25">
      <c r="C120" s="1"/>
      <c r="D120" s="2"/>
      <c r="E120" s="1"/>
      <c r="F120" s="1"/>
      <c r="G120" s="1"/>
      <c r="H120" s="3"/>
    </row>
    <row r="121" spans="3:8" x14ac:dyDescent="0.25">
      <c r="C121" s="1"/>
      <c r="D121" s="2"/>
      <c r="E121" s="1"/>
      <c r="F121" s="1"/>
      <c r="G121" s="1"/>
      <c r="H121" s="3"/>
    </row>
    <row r="122" spans="3:8" x14ac:dyDescent="0.25">
      <c r="C122" s="1"/>
      <c r="D122" s="2"/>
      <c r="E122" s="1"/>
      <c r="F122" s="1"/>
      <c r="G122" s="1"/>
      <c r="H122" s="3"/>
    </row>
    <row r="123" spans="3:8" x14ac:dyDescent="0.25">
      <c r="C123" s="1"/>
      <c r="D123" s="2"/>
      <c r="E123" s="1"/>
      <c r="F123" s="1"/>
      <c r="G123" s="1"/>
      <c r="H123" s="3"/>
    </row>
    <row r="124" spans="3:8" x14ac:dyDescent="0.25">
      <c r="C124" s="1"/>
      <c r="D124" s="2"/>
      <c r="E124" s="1"/>
      <c r="F124" s="1"/>
      <c r="G124" s="1"/>
      <c r="H124" s="3"/>
    </row>
    <row r="125" spans="3:8" x14ac:dyDescent="0.25">
      <c r="C125" s="1"/>
      <c r="D125" s="2"/>
      <c r="E125" s="1"/>
      <c r="F125" s="1"/>
      <c r="G125" s="1"/>
      <c r="H125" s="3"/>
    </row>
    <row r="126" spans="3:8" x14ac:dyDescent="0.25">
      <c r="C126" s="1" t="str">
        <f t="shared" ref="C126:C131" si="32">IF(H125&lt;0.01,"",H125)</f>
        <v/>
      </c>
      <c r="D126" s="2" t="str">
        <f t="shared" ref="D126:D131" si="33">IF(C126="","",IF(C126&gt;20000,5%,IF(C126&gt;15000,10%,IF(C126&gt;10000,15%,IF(C126&gt;5000,20%,IF(C126&gt;1000,30%,IF(C126&gt;500,40%,50%)))))))</f>
        <v/>
      </c>
      <c r="E126" s="1" t="str">
        <f t="shared" ref="E126:E131" si="34">IF(D126="","",C126*D126)</f>
        <v/>
      </c>
      <c r="F126" s="1" t="str">
        <f t="shared" ref="F126:F131" si="35">IF(C126="","",IF(C126&gt;20000,2900,IF(C126&gt;15000,1900,IF(C126&gt;10000,1150,IF(C126&gt;5000,650,IF(C126&gt;1000,150,IF(C126&gt;500,50,0)))))))</f>
        <v/>
      </c>
      <c r="G126" s="1" t="str">
        <f t="shared" ref="G126:G131" si="36">IF(C126="","",F126+E126)</f>
        <v/>
      </c>
      <c r="H126" s="3" t="str">
        <f t="shared" ref="H126:H131" si="37">IF(C126="","",C126-G126)</f>
        <v/>
      </c>
    </row>
    <row r="127" spans="3:8" x14ac:dyDescent="0.25">
      <c r="C127" s="1" t="str">
        <f t="shared" si="32"/>
        <v/>
      </c>
      <c r="D127" s="2" t="str">
        <f t="shared" si="33"/>
        <v/>
      </c>
      <c r="E127" s="1" t="str">
        <f t="shared" si="34"/>
        <v/>
      </c>
      <c r="F127" s="1" t="str">
        <f t="shared" si="35"/>
        <v/>
      </c>
      <c r="G127" s="1" t="str">
        <f t="shared" si="36"/>
        <v/>
      </c>
      <c r="H127" s="3" t="str">
        <f t="shared" si="37"/>
        <v/>
      </c>
    </row>
    <row r="128" spans="3:8" x14ac:dyDescent="0.25">
      <c r="C128" s="1" t="str">
        <f t="shared" si="32"/>
        <v/>
      </c>
      <c r="D128" s="2" t="str">
        <f t="shared" si="33"/>
        <v/>
      </c>
      <c r="E128" s="1" t="str">
        <f t="shared" si="34"/>
        <v/>
      </c>
      <c r="F128" s="1" t="str">
        <f t="shared" si="35"/>
        <v/>
      </c>
      <c r="G128" s="1" t="str">
        <f t="shared" si="36"/>
        <v/>
      </c>
      <c r="H128" s="3" t="str">
        <f t="shared" si="37"/>
        <v/>
      </c>
    </row>
    <row r="129" spans="3:8" x14ac:dyDescent="0.25">
      <c r="C129" s="1" t="str">
        <f t="shared" si="32"/>
        <v/>
      </c>
      <c r="D129" s="2" t="str">
        <f t="shared" si="33"/>
        <v/>
      </c>
      <c r="E129" s="1" t="str">
        <f t="shared" si="34"/>
        <v/>
      </c>
      <c r="F129" s="1" t="str">
        <f t="shared" si="35"/>
        <v/>
      </c>
      <c r="G129" s="1" t="str">
        <f t="shared" si="36"/>
        <v/>
      </c>
      <c r="H129" s="3" t="str">
        <f t="shared" si="37"/>
        <v/>
      </c>
    </row>
    <row r="130" spans="3:8" x14ac:dyDescent="0.25">
      <c r="C130" s="1" t="str">
        <f t="shared" si="32"/>
        <v/>
      </c>
      <c r="D130" s="2" t="str">
        <f t="shared" si="33"/>
        <v/>
      </c>
      <c r="E130" s="1" t="str">
        <f t="shared" si="34"/>
        <v/>
      </c>
      <c r="F130" s="1" t="str">
        <f t="shared" si="35"/>
        <v/>
      </c>
      <c r="G130" s="1" t="str">
        <f t="shared" si="36"/>
        <v/>
      </c>
      <c r="H130" s="3" t="str">
        <f t="shared" si="37"/>
        <v/>
      </c>
    </row>
    <row r="131" spans="3:8" x14ac:dyDescent="0.25">
      <c r="C131" s="1" t="str">
        <f t="shared" si="32"/>
        <v/>
      </c>
      <c r="D131" s="2" t="str">
        <f t="shared" si="33"/>
        <v/>
      </c>
      <c r="E131" s="1" t="str">
        <f t="shared" si="34"/>
        <v/>
      </c>
      <c r="F131" s="1" t="str">
        <f t="shared" si="35"/>
        <v/>
      </c>
      <c r="G131" s="1" t="str">
        <f t="shared" si="36"/>
        <v/>
      </c>
      <c r="H131" s="3" t="str">
        <f t="shared" si="37"/>
        <v/>
      </c>
    </row>
  </sheetData>
  <sheetProtection algorithmName="SHA-512" hashValue="6M9UJy6O/p0Ipo/64g+oPkHqkKb6BSZAcMquZuIS7FhZhuu9aj7Ig8W284jsUXzMf5B4duO2tiK9TQrK/2fGcQ==" saltValue="O/XPYkoNa6VDz8Zbe54/Gw==" spinCount="100000" sheet="1" objects="1" scenarios="1"/>
  <mergeCells count="6">
    <mergeCell ref="O37:O38"/>
    <mergeCell ref="F28:F29"/>
    <mergeCell ref="C32:D32"/>
    <mergeCell ref="G32:H32"/>
    <mergeCell ref="B28:B29"/>
    <mergeCell ref="O35:O36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6E42-7523-45D9-A135-8750798789CC}">
  <dimension ref="A1:H37"/>
  <sheetViews>
    <sheetView topLeftCell="A38" workbookViewId="0">
      <selection activeCell="A37" sqref="A1:XFD37"/>
    </sheetView>
  </sheetViews>
  <sheetFormatPr defaultColWidth="28.28515625" defaultRowHeight="15" x14ac:dyDescent="0.25"/>
  <cols>
    <col min="1" max="1" width="11.28515625" customWidth="1"/>
    <col min="5" max="5" width="28.28515625" style="7"/>
    <col min="7" max="7" width="28.28515625" style="67"/>
    <col min="8" max="8" width="35.28515625" style="67" bestFit="1" customWidth="1"/>
  </cols>
  <sheetData>
    <row r="1" spans="1:8" ht="33" hidden="1" customHeight="1" thickBot="1" x14ac:dyDescent="0.3">
      <c r="A1" s="183" t="s">
        <v>17</v>
      </c>
      <c r="B1" s="184"/>
      <c r="C1" s="184"/>
      <c r="D1" s="184"/>
      <c r="E1" s="184"/>
      <c r="F1" s="185"/>
    </row>
    <row r="2" spans="1:8" ht="17.25" hidden="1" thickBot="1" x14ac:dyDescent="0.3">
      <c r="A2" s="57" t="s">
        <v>18</v>
      </c>
      <c r="B2" s="186" t="s">
        <v>19</v>
      </c>
      <c r="C2" s="187"/>
      <c r="D2" s="187"/>
      <c r="E2" s="187"/>
      <c r="F2" s="187"/>
      <c r="G2" s="192" t="s">
        <v>114</v>
      </c>
      <c r="H2" s="192"/>
    </row>
    <row r="3" spans="1:8" ht="17.25" hidden="1" thickBot="1" x14ac:dyDescent="0.3">
      <c r="A3" s="57" t="s">
        <v>20</v>
      </c>
      <c r="B3" s="188" t="s">
        <v>21</v>
      </c>
      <c r="C3" s="189"/>
      <c r="D3" s="190"/>
      <c r="E3" s="59">
        <v>20743.05</v>
      </c>
      <c r="F3" s="68" t="s">
        <v>88</v>
      </c>
      <c r="G3" s="71" t="s">
        <v>109</v>
      </c>
      <c r="H3" s="72" t="s">
        <v>115</v>
      </c>
    </row>
    <row r="4" spans="1:8" ht="17.25" hidden="1" thickBot="1" x14ac:dyDescent="0.3">
      <c r="A4" s="57" t="s">
        <v>22</v>
      </c>
      <c r="B4" s="188" t="s">
        <v>23</v>
      </c>
      <c r="C4" s="189"/>
      <c r="D4" s="190"/>
      <c r="E4" s="59">
        <v>0</v>
      </c>
      <c r="F4" s="68" t="s">
        <v>89</v>
      </c>
      <c r="G4" s="71"/>
      <c r="H4" s="71"/>
    </row>
    <row r="5" spans="1:8" ht="17.25" hidden="1" thickBot="1" x14ac:dyDescent="0.3">
      <c r="A5" s="57" t="s">
        <v>24</v>
      </c>
      <c r="B5" s="188" t="s">
        <v>25</v>
      </c>
      <c r="C5" s="189"/>
      <c r="D5" s="190"/>
      <c r="E5" s="59">
        <v>0</v>
      </c>
      <c r="F5" s="68" t="s">
        <v>90</v>
      </c>
      <c r="G5" s="71"/>
      <c r="H5" s="71"/>
    </row>
    <row r="6" spans="1:8" ht="17.25" hidden="1" thickBot="1" x14ac:dyDescent="0.3">
      <c r="A6" s="57" t="s">
        <v>26</v>
      </c>
      <c r="B6" s="186" t="s">
        <v>122</v>
      </c>
      <c r="C6" s="187"/>
      <c r="D6" s="191"/>
      <c r="E6" s="60">
        <v>20743.05</v>
      </c>
      <c r="F6" s="69" t="s">
        <v>91</v>
      </c>
      <c r="G6" s="71" t="s">
        <v>109</v>
      </c>
      <c r="H6" s="72" t="s">
        <v>115</v>
      </c>
    </row>
    <row r="7" spans="1:8" ht="17.25" hidden="1" thickBot="1" x14ac:dyDescent="0.3">
      <c r="A7" s="57" t="s">
        <v>27</v>
      </c>
      <c r="B7" s="186" t="s">
        <v>28</v>
      </c>
      <c r="C7" s="187"/>
      <c r="D7" s="191"/>
      <c r="E7" s="62" t="s">
        <v>0</v>
      </c>
      <c r="F7" s="69" t="s">
        <v>92</v>
      </c>
      <c r="G7" s="71"/>
      <c r="H7" s="71"/>
    </row>
    <row r="8" spans="1:8" ht="17.25" hidden="1" thickBot="1" x14ac:dyDescent="0.3">
      <c r="A8" s="57" t="s">
        <v>29</v>
      </c>
      <c r="B8" s="186" t="s">
        <v>30</v>
      </c>
      <c r="C8" s="187"/>
      <c r="D8" s="191"/>
      <c r="E8" s="62" t="s">
        <v>0</v>
      </c>
      <c r="F8" s="69" t="s">
        <v>93</v>
      </c>
      <c r="G8" s="71"/>
      <c r="H8" s="71"/>
    </row>
    <row r="9" spans="1:8" ht="17.25" hidden="1" thickBot="1" x14ac:dyDescent="0.3">
      <c r="A9" s="57" t="s">
        <v>31</v>
      </c>
      <c r="B9" s="188" t="s">
        <v>123</v>
      </c>
      <c r="C9" s="189"/>
      <c r="D9" s="190"/>
      <c r="E9" s="59">
        <v>20743.05</v>
      </c>
      <c r="F9" s="58" t="s">
        <v>94</v>
      </c>
      <c r="G9" s="71" t="s">
        <v>109</v>
      </c>
      <c r="H9" s="72" t="s">
        <v>115</v>
      </c>
    </row>
    <row r="10" spans="1:8" ht="16.5" hidden="1" customHeight="1" thickBot="1" x14ac:dyDescent="0.3">
      <c r="A10" s="57" t="s">
        <v>32</v>
      </c>
      <c r="B10" s="62" t="s">
        <v>95</v>
      </c>
      <c r="C10" s="188" t="s">
        <v>96</v>
      </c>
      <c r="D10" s="190"/>
      <c r="E10" s="61" t="s">
        <v>33</v>
      </c>
      <c r="F10" s="69" t="s">
        <v>33</v>
      </c>
      <c r="G10" s="71"/>
      <c r="H10" s="71"/>
    </row>
    <row r="11" spans="1:8" ht="17.25" hidden="1" thickBot="1" x14ac:dyDescent="0.3">
      <c r="A11" s="57" t="s">
        <v>34</v>
      </c>
      <c r="B11" s="188" t="s">
        <v>97</v>
      </c>
      <c r="C11" s="190"/>
      <c r="D11" s="62" t="s">
        <v>98</v>
      </c>
      <c r="E11" s="61" t="s">
        <v>33</v>
      </c>
      <c r="F11" s="69" t="s">
        <v>33</v>
      </c>
      <c r="G11" s="71"/>
      <c r="H11" s="71"/>
    </row>
    <row r="12" spans="1:8" ht="17.25" hidden="1" thickBot="1" x14ac:dyDescent="0.3">
      <c r="A12" s="57" t="s">
        <v>35</v>
      </c>
      <c r="B12" s="186" t="s">
        <v>99</v>
      </c>
      <c r="C12" s="187"/>
      <c r="D12" s="191"/>
      <c r="E12" s="63" t="s">
        <v>100</v>
      </c>
      <c r="F12" s="69" t="s">
        <v>101</v>
      </c>
      <c r="G12" s="71"/>
      <c r="H12" s="71"/>
    </row>
    <row r="13" spans="1:8" ht="17.25" hidden="1" thickBot="1" x14ac:dyDescent="0.3">
      <c r="A13" s="57" t="s">
        <v>36</v>
      </c>
      <c r="B13" s="186" t="s">
        <v>37</v>
      </c>
      <c r="C13" s="187"/>
      <c r="D13" s="191"/>
      <c r="E13" s="62" t="s">
        <v>102</v>
      </c>
      <c r="F13" s="69" t="s">
        <v>103</v>
      </c>
      <c r="G13" s="71"/>
      <c r="H13" s="71"/>
    </row>
    <row r="14" spans="1:8" ht="17.25" hidden="1" thickBot="1" x14ac:dyDescent="0.3">
      <c r="A14" s="57" t="s">
        <v>38</v>
      </c>
      <c r="B14" s="186" t="s">
        <v>39</v>
      </c>
      <c r="C14" s="187"/>
      <c r="D14" s="191"/>
      <c r="E14" s="62" t="s">
        <v>102</v>
      </c>
      <c r="F14" s="69" t="s">
        <v>104</v>
      </c>
      <c r="G14" s="71"/>
      <c r="H14" s="71"/>
    </row>
    <row r="15" spans="1:8" ht="17.25" hidden="1" thickBot="1" x14ac:dyDescent="0.3">
      <c r="A15" s="57" t="s">
        <v>40</v>
      </c>
      <c r="B15" s="186" t="s">
        <v>41</v>
      </c>
      <c r="C15" s="187"/>
      <c r="D15" s="191"/>
      <c r="E15" s="62" t="s">
        <v>102</v>
      </c>
      <c r="F15" s="69" t="s">
        <v>105</v>
      </c>
      <c r="G15" s="71"/>
      <c r="H15" s="71"/>
    </row>
    <row r="16" spans="1:8" ht="17.25" hidden="1" thickBot="1" x14ac:dyDescent="0.3">
      <c r="A16" s="57" t="s">
        <v>42</v>
      </c>
      <c r="B16" s="186" t="s">
        <v>43</v>
      </c>
      <c r="C16" s="187"/>
      <c r="D16" s="191"/>
      <c r="E16" s="59">
        <v>29170.95</v>
      </c>
      <c r="F16" s="69" t="s">
        <v>33</v>
      </c>
      <c r="G16" s="71" t="s">
        <v>110</v>
      </c>
      <c r="H16" s="72" t="s">
        <v>120</v>
      </c>
    </row>
    <row r="17" spans="1:8" ht="17.25" hidden="1" thickBot="1" x14ac:dyDescent="0.3">
      <c r="A17" s="57" t="s">
        <v>44</v>
      </c>
      <c r="B17" s="186" t="s">
        <v>45</v>
      </c>
      <c r="C17" s="187"/>
      <c r="D17" s="187"/>
      <c r="E17" s="187"/>
      <c r="F17" s="187"/>
      <c r="G17" s="71"/>
      <c r="H17" s="71"/>
    </row>
    <row r="18" spans="1:8" ht="17.25" hidden="1" thickBot="1" x14ac:dyDescent="0.3">
      <c r="A18" s="57" t="s">
        <v>46</v>
      </c>
      <c r="B18" s="188" t="s">
        <v>47</v>
      </c>
      <c r="C18" s="189"/>
      <c r="D18" s="190"/>
      <c r="E18" s="59">
        <v>29170.95</v>
      </c>
      <c r="F18" s="69" t="s">
        <v>33</v>
      </c>
      <c r="G18" s="71" t="s">
        <v>110</v>
      </c>
      <c r="H18" s="72" t="s">
        <v>120</v>
      </c>
    </row>
    <row r="19" spans="1:8" ht="17.25" hidden="1" thickBot="1" x14ac:dyDescent="0.3">
      <c r="A19" s="57" t="s">
        <v>48</v>
      </c>
      <c r="B19" s="188" t="s">
        <v>124</v>
      </c>
      <c r="C19" s="189"/>
      <c r="D19" s="190"/>
      <c r="E19" s="64">
        <v>44686</v>
      </c>
      <c r="F19" s="69" t="s">
        <v>33</v>
      </c>
      <c r="G19" s="71" t="s">
        <v>111</v>
      </c>
      <c r="H19" s="72" t="s">
        <v>116</v>
      </c>
    </row>
    <row r="20" spans="1:8" ht="17.25" hidden="1" thickBot="1" x14ac:dyDescent="0.3">
      <c r="A20" s="57" t="s">
        <v>49</v>
      </c>
      <c r="B20" s="188" t="s">
        <v>125</v>
      </c>
      <c r="C20" s="189"/>
      <c r="D20" s="190"/>
      <c r="E20" s="65">
        <v>5</v>
      </c>
      <c r="F20" s="69" t="s">
        <v>33</v>
      </c>
      <c r="G20" s="71" t="s">
        <v>112</v>
      </c>
      <c r="H20" s="73" t="s">
        <v>117</v>
      </c>
    </row>
    <row r="21" spans="1:8" ht="17.25" hidden="1" thickBot="1" x14ac:dyDescent="0.3">
      <c r="A21" s="57" t="s">
        <v>50</v>
      </c>
      <c r="B21" s="188" t="s">
        <v>126</v>
      </c>
      <c r="C21" s="189"/>
      <c r="D21" s="190"/>
      <c r="E21" s="66" t="s">
        <v>106</v>
      </c>
      <c r="F21" s="70" t="s">
        <v>107</v>
      </c>
      <c r="G21" s="71" t="s">
        <v>113</v>
      </c>
      <c r="H21" s="73" t="s">
        <v>118</v>
      </c>
    </row>
    <row r="22" spans="1:8" ht="17.25" hidden="1" thickBot="1" x14ac:dyDescent="0.3">
      <c r="A22" s="57" t="s">
        <v>51</v>
      </c>
      <c r="B22" s="188" t="s">
        <v>52</v>
      </c>
      <c r="C22" s="189"/>
      <c r="D22" s="190"/>
      <c r="E22" s="59">
        <v>682.22</v>
      </c>
      <c r="F22" s="69" t="s">
        <v>108</v>
      </c>
      <c r="G22" s="71" t="s">
        <v>27</v>
      </c>
      <c r="H22" s="73" t="s">
        <v>119</v>
      </c>
    </row>
    <row r="23" spans="1:8" ht="17.25" hidden="1" thickBot="1" x14ac:dyDescent="0.3">
      <c r="A23" s="57" t="s">
        <v>53</v>
      </c>
      <c r="B23" s="188" t="s">
        <v>54</v>
      </c>
      <c r="C23" s="189"/>
      <c r="D23" s="190"/>
      <c r="E23" s="62" t="s">
        <v>102</v>
      </c>
      <c r="F23" s="69" t="s">
        <v>108</v>
      </c>
      <c r="G23" s="71"/>
      <c r="H23" s="71"/>
    </row>
    <row r="24" spans="1:8" ht="17.25" hidden="1" thickBot="1" x14ac:dyDescent="0.3">
      <c r="A24" s="57" t="s">
        <v>55</v>
      </c>
      <c r="B24" s="188" t="s">
        <v>56</v>
      </c>
      <c r="C24" s="189"/>
      <c r="D24" s="190"/>
      <c r="E24" s="62" t="s">
        <v>102</v>
      </c>
      <c r="F24" s="69" t="s">
        <v>108</v>
      </c>
      <c r="G24" s="71"/>
      <c r="H24" s="71"/>
    </row>
    <row r="25" spans="1:8" ht="17.25" hidden="1" thickBot="1" x14ac:dyDescent="0.3">
      <c r="A25" s="57" t="s">
        <v>57</v>
      </c>
      <c r="B25" s="188" t="s">
        <v>58</v>
      </c>
      <c r="C25" s="189"/>
      <c r="D25" s="190"/>
      <c r="E25" s="62" t="s">
        <v>102</v>
      </c>
      <c r="F25" s="69" t="s">
        <v>108</v>
      </c>
      <c r="G25" s="71"/>
      <c r="H25" s="71"/>
    </row>
    <row r="26" spans="1:8" ht="17.25" hidden="1" thickBot="1" x14ac:dyDescent="0.3">
      <c r="A26" s="57" t="s">
        <v>59</v>
      </c>
      <c r="B26" s="186" t="s">
        <v>60</v>
      </c>
      <c r="C26" s="187"/>
      <c r="D26" s="191"/>
      <c r="E26" s="60">
        <v>21425.27</v>
      </c>
      <c r="F26" s="69" t="s">
        <v>33</v>
      </c>
      <c r="G26" s="71" t="s">
        <v>18</v>
      </c>
      <c r="H26" s="72" t="s">
        <v>121</v>
      </c>
    </row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hidden="1" x14ac:dyDescent="0.25"/>
    <row r="32" spans="1: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algorithmName="SHA-512" hashValue="LONuTLTSyYXDigaVCni6b798QHwibETck7TvJeyANWMkHyprrB9Lrqcd/4mu8g3dw8d4heQ6DgGyz/UZPpV2Bw==" saltValue="B00y6LhzhhNSuhgk38YXYQ==" spinCount="100000" sheet="1" objects="1" scenarios="1"/>
  <mergeCells count="27">
    <mergeCell ref="B26:D26"/>
    <mergeCell ref="G2:H2"/>
    <mergeCell ref="B21:D21"/>
    <mergeCell ref="B22:D22"/>
    <mergeCell ref="B23:D23"/>
    <mergeCell ref="B24:D24"/>
    <mergeCell ref="B25:D25"/>
    <mergeCell ref="B16:D16"/>
    <mergeCell ref="B17:F17"/>
    <mergeCell ref="B18:D18"/>
    <mergeCell ref="B19:D19"/>
    <mergeCell ref="B20:D20"/>
    <mergeCell ref="B11:C11"/>
    <mergeCell ref="B12:D12"/>
    <mergeCell ref="B13:D13"/>
    <mergeCell ref="B14:D14"/>
    <mergeCell ref="B15:D15"/>
    <mergeCell ref="B6:D6"/>
    <mergeCell ref="B7:D7"/>
    <mergeCell ref="B8:D8"/>
    <mergeCell ref="B9:D9"/>
    <mergeCell ref="C10:D10"/>
    <mergeCell ref="A1:F1"/>
    <mergeCell ref="B2:F2"/>
    <mergeCell ref="B3:D3"/>
    <mergeCell ref="B4:D4"/>
    <mergeCell ref="B5:D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04FF-222A-4B91-8178-12B7CDA6709F}">
  <dimension ref="A1:W128"/>
  <sheetViews>
    <sheetView topLeftCell="A60" workbookViewId="0">
      <selection activeCell="A59" sqref="A1:XFD59"/>
    </sheetView>
  </sheetViews>
  <sheetFormatPr defaultColWidth="9.28515625" defaultRowHeight="15" x14ac:dyDescent="0.25"/>
  <cols>
    <col min="1" max="1" width="20.28515625" bestFit="1" customWidth="1"/>
    <col min="2" max="2" width="12.140625" bestFit="1" customWidth="1"/>
    <col min="3" max="3" width="13.5703125" bestFit="1" customWidth="1"/>
    <col min="4" max="4" width="15.85546875" customWidth="1"/>
    <col min="5" max="5" width="10.5703125" bestFit="1" customWidth="1"/>
    <col min="6" max="6" width="17.5703125" bestFit="1" customWidth="1"/>
    <col min="7" max="7" width="17" customWidth="1"/>
    <col min="8" max="8" width="11.5703125" customWidth="1"/>
    <col min="10" max="10" width="13.28515625" customWidth="1"/>
    <col min="11" max="11" width="11" customWidth="1"/>
    <col min="12" max="12" width="10.42578125" bestFit="1" customWidth="1"/>
    <col min="13" max="13" width="18.140625" bestFit="1" customWidth="1"/>
    <col min="16" max="16" width="11.140625" bestFit="1" customWidth="1"/>
    <col min="17" max="17" width="12.140625" bestFit="1" customWidth="1"/>
  </cols>
  <sheetData>
    <row r="1" spans="1:16" hidden="1" x14ac:dyDescent="0.25">
      <c r="A1" s="33" t="s">
        <v>10</v>
      </c>
      <c r="B1" s="56">
        <v>44197</v>
      </c>
    </row>
    <row r="2" spans="1:16" hidden="1" x14ac:dyDescent="0.25">
      <c r="A2" s="33" t="s">
        <v>130</v>
      </c>
      <c r="B2" s="56">
        <v>29007</v>
      </c>
    </row>
    <row r="3" spans="1:16" hidden="1" x14ac:dyDescent="0.25">
      <c r="A3" s="33" t="s">
        <v>68</v>
      </c>
      <c r="B3" s="53">
        <v>20000</v>
      </c>
    </row>
    <row r="4" spans="1:16" hidden="1" x14ac:dyDescent="0.25">
      <c r="B4" s="4"/>
    </row>
    <row r="5" spans="1:16" hidden="1" x14ac:dyDescent="0.25">
      <c r="B5" s="4"/>
    </row>
    <row r="6" spans="1:16" s="5" customFormat="1" ht="45" hidden="1" x14ac:dyDescent="0.25">
      <c r="A6" s="50" t="s">
        <v>12</v>
      </c>
      <c r="B6" s="50"/>
      <c r="C6" s="28" t="s">
        <v>8</v>
      </c>
      <c r="D6" s="27" t="s">
        <v>9</v>
      </c>
      <c r="E6" s="29" t="s">
        <v>0</v>
      </c>
      <c r="F6" s="29" t="s">
        <v>1</v>
      </c>
      <c r="G6" s="30" t="s">
        <v>2</v>
      </c>
      <c r="H6" s="29" t="s">
        <v>3</v>
      </c>
      <c r="I6" s="29" t="s">
        <v>4</v>
      </c>
      <c r="J6" s="29" t="s">
        <v>11</v>
      </c>
      <c r="K6" s="29" t="s">
        <v>6</v>
      </c>
      <c r="L6" s="29" t="s">
        <v>7</v>
      </c>
      <c r="M6" s="31" t="s">
        <v>5</v>
      </c>
    </row>
    <row r="7" spans="1:16" hidden="1" x14ac:dyDescent="0.25">
      <c r="A7" s="32">
        <f>IF(MONTH(B1)&gt;=MONTH(B2),DATE(YEAR(B1)+1,MONTH(B2),5),DATE(YEAR(B1),MONTH(B2),5))</f>
        <v>44352</v>
      </c>
      <c r="B7" s="33">
        <v>1</v>
      </c>
      <c r="C7" s="55">
        <f>B3</f>
        <v>20000</v>
      </c>
      <c r="D7" s="35">
        <f t="shared" ref="D7:D11" si="0">IF(C7="","",IF(C7&gt;20000,5%,IF(C7&gt;15000,10%,IF(C7&gt;10000,15%,IF(C7&gt;5000,20%,IF(C7&gt;1000,30%,IF(C7&gt;500,40%,50%)))))))</f>
        <v>0.1</v>
      </c>
      <c r="E7" s="34">
        <f>IF(D7="","",C7*D7)</f>
        <v>2000</v>
      </c>
      <c r="F7" s="34">
        <f>IF(C7="","",IF(C7&gt;20000,2900,IF(C7&gt;15000,1900,IF(C7&gt;10000,1150,IF(C7&gt;5000,650,IF(C7&gt;1000,150,IF(C7&gt;500,50,0)))))))</f>
        <v>1900</v>
      </c>
      <c r="G7" s="34">
        <f>IF(C7="","",F7+E7)</f>
        <v>3900</v>
      </c>
      <c r="H7" s="36">
        <f>IF(C7="","",C7-G7)</f>
        <v>16100</v>
      </c>
      <c r="I7" s="33">
        <f t="shared" ref="I7:I12" si="1">A7-$B$1</f>
        <v>155</v>
      </c>
      <c r="J7" s="36">
        <f t="shared" ref="J7:J12" si="2">G7/($C$15^I7)</f>
        <v>3704.5674725980075</v>
      </c>
      <c r="K7" s="33"/>
      <c r="L7" s="36">
        <f>J7*(IF(I7&lt;365,I7*$B$18,365*$B$18))</f>
        <v>47.085052576720678</v>
      </c>
      <c r="M7" s="36">
        <f>J7-K7-L7</f>
        <v>3657.482420021287</v>
      </c>
      <c r="N7" s="3">
        <f>M7/$M$13</f>
        <v>0.28592632317046773</v>
      </c>
      <c r="P7" s="1">
        <f>IF(A7-$B$1&gt;365,M7/(1-0.0082%*365)*1,M7/(1-(A7-B1)*0.0082%)*1)</f>
        <v>3704.5674725980075</v>
      </c>
    </row>
    <row r="8" spans="1:16" hidden="1" x14ac:dyDescent="0.25">
      <c r="A8" s="32">
        <f>DATE(YEAR(A7)+1,MONTH(A7),DAY(A7))</f>
        <v>44717</v>
      </c>
      <c r="B8" s="33">
        <f>IF(H7="","",IF(H7&lt;0.01,"",B7+1))</f>
        <v>2</v>
      </c>
      <c r="C8" s="34">
        <f t="shared" ref="C8:C12" si="3">IF(H7&lt;0.01,"",H7)</f>
        <v>16100</v>
      </c>
      <c r="D8" s="35">
        <f t="shared" si="0"/>
        <v>0.1</v>
      </c>
      <c r="E8" s="34">
        <f>IF(D8="","",C8*D8)</f>
        <v>1610</v>
      </c>
      <c r="F8" s="34">
        <f>IF(C8="","",IF(C8&gt;20000,2900,IF(C8&gt;15000,1900,IF(C8&gt;10000,1150,IF(C8&gt;5000,650,IF(C8&gt;1000,150,IF(C8&gt;500,50,0)))))))</f>
        <v>1900</v>
      </c>
      <c r="G8" s="34">
        <f>IF(C8="","",F8+E8)</f>
        <v>3510</v>
      </c>
      <c r="H8" s="36">
        <f>IF(C8="","",C8-G8)</f>
        <v>12590</v>
      </c>
      <c r="I8" s="33">
        <f t="shared" si="1"/>
        <v>520</v>
      </c>
      <c r="J8" s="36">
        <f t="shared" si="2"/>
        <v>2953.9511173573965</v>
      </c>
      <c r="K8" s="33"/>
      <c r="L8" s="36">
        <f t="shared" ref="L8:L12" si="4">J8*(IF(I8&lt;365,I8*$B$18,365*$B$18))</f>
        <v>88.411756942506884</v>
      </c>
      <c r="M8" s="36">
        <f t="shared" ref="M8:M13" si="5">J8-K8-L8</f>
        <v>2865.5393604148894</v>
      </c>
      <c r="N8" s="3">
        <f t="shared" ref="N8:N12" si="6">M8/$M$13</f>
        <v>0.22401560394073322</v>
      </c>
      <c r="P8" s="1">
        <f t="shared" ref="P8:P12" si="7">IF(A8-$B$1&gt;365,M8/(1-0.0082%*365)*1,M8/(1-(A8-B2)*0.0082%)*1)</f>
        <v>2953.9511173573965</v>
      </c>
    </row>
    <row r="9" spans="1:16" hidden="1" x14ac:dyDescent="0.25">
      <c r="A9" s="32">
        <f t="shared" ref="A9:A12" si="8">DATE(YEAR(A8)+1,MONTH(A8),DAY(A8))</f>
        <v>45082</v>
      </c>
      <c r="B9" s="33">
        <f t="shared" ref="B9:B12" si="9">IF(H8="","",IF(H8&lt;0.01,"",B8+1))</f>
        <v>3</v>
      </c>
      <c r="C9" s="34">
        <f t="shared" si="3"/>
        <v>12590</v>
      </c>
      <c r="D9" s="35">
        <f t="shared" si="0"/>
        <v>0.15</v>
      </c>
      <c r="E9" s="34">
        <f t="shared" ref="E9:E12" si="10">IF(D9="","",C9*D9)</f>
        <v>1888.5</v>
      </c>
      <c r="F9" s="34">
        <f t="shared" ref="F9:F12" si="11">IF(C9="","",IF(C9&gt;20000,2900,IF(C9&gt;15000,1900,IF(C9&gt;10000,1150,IF(C9&gt;5000,650,IF(C9&gt;1000,150,IF(C9&gt;500,50,0)))))))</f>
        <v>1150</v>
      </c>
      <c r="G9" s="34">
        <f t="shared" ref="G9:G12" si="12">IF(C9="","",F9+E9)</f>
        <v>3038.5</v>
      </c>
      <c r="H9" s="36">
        <f t="shared" ref="H9:H12" si="13">IF(C9="","",C9-G9)</f>
        <v>9551.5</v>
      </c>
      <c r="I9" s="33">
        <f t="shared" si="1"/>
        <v>885</v>
      </c>
      <c r="J9" s="36">
        <f t="shared" si="2"/>
        <v>2265.5764104860882</v>
      </c>
      <c r="K9" s="33"/>
      <c r="L9" s="36">
        <f t="shared" si="4"/>
        <v>67.808701965848627</v>
      </c>
      <c r="M9" s="36">
        <f t="shared" si="5"/>
        <v>2197.7677085202395</v>
      </c>
      <c r="N9" s="3">
        <f t="shared" si="6"/>
        <v>0.17181207396652887</v>
      </c>
      <c r="P9" s="1">
        <f t="shared" si="7"/>
        <v>2265.5764104860882</v>
      </c>
    </row>
    <row r="10" spans="1:16" hidden="1" x14ac:dyDescent="0.25">
      <c r="A10" s="32">
        <f t="shared" si="8"/>
        <v>45448</v>
      </c>
      <c r="B10" s="33">
        <f t="shared" si="9"/>
        <v>4</v>
      </c>
      <c r="C10" s="34">
        <f t="shared" si="3"/>
        <v>9551.5</v>
      </c>
      <c r="D10" s="35">
        <f t="shared" si="0"/>
        <v>0.2</v>
      </c>
      <c r="E10" s="34">
        <f t="shared" si="10"/>
        <v>1910.3000000000002</v>
      </c>
      <c r="F10" s="34">
        <f t="shared" si="11"/>
        <v>650</v>
      </c>
      <c r="G10" s="34">
        <f t="shared" si="12"/>
        <v>2560.3000000000002</v>
      </c>
      <c r="H10" s="36">
        <f t="shared" si="13"/>
        <v>6991.2</v>
      </c>
      <c r="I10" s="33">
        <f t="shared" si="1"/>
        <v>1251</v>
      </c>
      <c r="J10" s="36">
        <f t="shared" si="2"/>
        <v>1690.7896064102729</v>
      </c>
      <c r="K10" s="33"/>
      <c r="L10" s="36">
        <f t="shared" si="4"/>
        <v>50.605332919859471</v>
      </c>
      <c r="M10" s="36">
        <f t="shared" si="5"/>
        <v>1640.1842734904135</v>
      </c>
      <c r="N10" s="3">
        <f t="shared" si="6"/>
        <v>0.1282225872293897</v>
      </c>
      <c r="P10" s="1">
        <f t="shared" si="7"/>
        <v>1690.7896064102729</v>
      </c>
    </row>
    <row r="11" spans="1:16" hidden="1" x14ac:dyDescent="0.25">
      <c r="A11" s="32">
        <f t="shared" si="8"/>
        <v>45813</v>
      </c>
      <c r="B11" s="33">
        <f t="shared" si="9"/>
        <v>5</v>
      </c>
      <c r="C11" s="34">
        <f t="shared" si="3"/>
        <v>6991.2</v>
      </c>
      <c r="D11" s="35">
        <f t="shared" si="0"/>
        <v>0.2</v>
      </c>
      <c r="E11" s="34">
        <f t="shared" si="10"/>
        <v>1398.24</v>
      </c>
      <c r="F11" s="34">
        <f t="shared" si="11"/>
        <v>650</v>
      </c>
      <c r="G11" s="34">
        <f t="shared" si="12"/>
        <v>2048.2399999999998</v>
      </c>
      <c r="H11" s="36">
        <f t="shared" si="13"/>
        <v>4942.96</v>
      </c>
      <c r="I11" s="33">
        <f t="shared" si="1"/>
        <v>1616</v>
      </c>
      <c r="J11" s="36">
        <f t="shared" si="2"/>
        <v>1198.4028746532438</v>
      </c>
      <c r="K11" s="33"/>
      <c r="L11" s="36">
        <f t="shared" si="4"/>
        <v>35.868198038371588</v>
      </c>
      <c r="M11" s="36">
        <f t="shared" si="5"/>
        <v>1162.5346766148723</v>
      </c>
      <c r="N11" s="3">
        <f t="shared" si="6"/>
        <v>9.0881985877248481E-2</v>
      </c>
      <c r="P11" s="1">
        <f t="shared" si="7"/>
        <v>1198.402874653244</v>
      </c>
    </row>
    <row r="12" spans="1:16" hidden="1" x14ac:dyDescent="0.25">
      <c r="A12" s="32">
        <f t="shared" si="8"/>
        <v>46178</v>
      </c>
      <c r="B12" s="33">
        <f t="shared" si="9"/>
        <v>6</v>
      </c>
      <c r="C12" s="34">
        <f t="shared" si="3"/>
        <v>4942.96</v>
      </c>
      <c r="D12" s="35">
        <v>0.5</v>
      </c>
      <c r="E12" s="34">
        <f t="shared" si="10"/>
        <v>2471.48</v>
      </c>
      <c r="F12" s="34">
        <f t="shared" si="11"/>
        <v>150</v>
      </c>
      <c r="G12" s="34">
        <f t="shared" si="12"/>
        <v>2621.48</v>
      </c>
      <c r="H12" s="36">
        <f t="shared" si="13"/>
        <v>2321.48</v>
      </c>
      <c r="I12" s="33">
        <f t="shared" si="1"/>
        <v>1981</v>
      </c>
      <c r="J12" s="36">
        <f t="shared" si="2"/>
        <v>1358.9135630214525</v>
      </c>
      <c r="K12" s="33"/>
      <c r="L12" s="36">
        <f t="shared" si="4"/>
        <v>40.672282941232076</v>
      </c>
      <c r="M12" s="36">
        <f t="shared" si="5"/>
        <v>1318.2412800802206</v>
      </c>
      <c r="N12" s="3">
        <f t="shared" si="6"/>
        <v>0.1030544617799351</v>
      </c>
      <c r="P12" s="1">
        <f t="shared" si="7"/>
        <v>1358.9135630214528</v>
      </c>
    </row>
    <row r="13" spans="1:16" s="7" customFormat="1" hidden="1" x14ac:dyDescent="0.25">
      <c r="A13" s="37"/>
      <c r="B13" s="37">
        <f>MAX(B7:B12)</f>
        <v>6</v>
      </c>
      <c r="C13" s="38"/>
      <c r="D13" s="39"/>
      <c r="E13" s="38">
        <f>SUM(E7:E12)</f>
        <v>11278.52</v>
      </c>
      <c r="F13" s="38">
        <f>SUM(F7:F12)</f>
        <v>6400</v>
      </c>
      <c r="G13" s="38">
        <f>SUM(G7:G12)</f>
        <v>17678.52</v>
      </c>
      <c r="H13" s="38"/>
      <c r="I13" s="37"/>
      <c r="J13" s="38">
        <f>SUM(J7:J12)</f>
        <v>13172.201044526462</v>
      </c>
      <c r="K13" s="40">
        <f>J13*B17</f>
        <v>50.054363969200558</v>
      </c>
      <c r="L13" s="40">
        <f>SUM(L7:L12)</f>
        <v>330.45132538453936</v>
      </c>
      <c r="M13" s="40">
        <f t="shared" si="5"/>
        <v>12791.695355172722</v>
      </c>
      <c r="P13" s="48">
        <f>SUM(P7:P12)</f>
        <v>13172.201044526462</v>
      </c>
    </row>
    <row r="14" spans="1:16" hidden="1" x14ac:dyDescent="0.25">
      <c r="C14" s="1"/>
      <c r="D14" s="2"/>
      <c r="E14" s="1"/>
      <c r="F14" s="1"/>
      <c r="G14" s="1"/>
      <c r="H14" s="3"/>
    </row>
    <row r="15" spans="1:16" hidden="1" x14ac:dyDescent="0.25">
      <c r="A15" s="33" t="s">
        <v>132</v>
      </c>
      <c r="B15" s="41">
        <v>0.01</v>
      </c>
      <c r="C15" s="41">
        <f>(1+B15)^(1/30)</f>
        <v>1.0003317327062342</v>
      </c>
      <c r="F15" s="7"/>
      <c r="G15" s="7"/>
      <c r="H15" s="7"/>
      <c r="I15" s="7"/>
      <c r="J15" s="48">
        <f>G13-K13-L13-M13</f>
        <v>4506.3189554735382</v>
      </c>
      <c r="K15" s="7"/>
      <c r="L15" s="48">
        <f>L13+K13</f>
        <v>380.50568935373991</v>
      </c>
      <c r="M15" s="7"/>
    </row>
    <row r="16" spans="1:16" hidden="1" x14ac:dyDescent="0.25">
      <c r="A16" s="33" t="s">
        <v>133</v>
      </c>
      <c r="B16" s="42">
        <f>ROUND((((B15+1)^(360/30)-1)),4)</f>
        <v>0.1268</v>
      </c>
      <c r="C16" s="1"/>
      <c r="D16" s="2"/>
      <c r="E16" s="1"/>
      <c r="F16" s="1"/>
      <c r="G16" s="1"/>
      <c r="H16" s="3"/>
      <c r="N16" s="8"/>
    </row>
    <row r="17" spans="1:23" hidden="1" x14ac:dyDescent="0.25">
      <c r="A17" s="33" t="s">
        <v>13</v>
      </c>
      <c r="B17" s="41">
        <v>3.8E-3</v>
      </c>
      <c r="C17" s="1"/>
      <c r="D17" s="2"/>
      <c r="E17" s="1"/>
      <c r="F17" s="1"/>
      <c r="G17" s="1"/>
      <c r="H17" s="3"/>
    </row>
    <row r="18" spans="1:23" hidden="1" x14ac:dyDescent="0.25">
      <c r="A18" s="33" t="s">
        <v>14</v>
      </c>
      <c r="B18" s="43">
        <v>8.2000000000000001E-5</v>
      </c>
      <c r="C18" s="1"/>
      <c r="D18" s="2"/>
      <c r="E18" s="1"/>
      <c r="F18" s="1"/>
      <c r="G18" s="1"/>
      <c r="H18" s="3"/>
    </row>
    <row r="19" spans="1:23" hidden="1" x14ac:dyDescent="0.25">
      <c r="A19" s="33" t="s">
        <v>15</v>
      </c>
      <c r="B19" s="36">
        <f>K13+L13</f>
        <v>380.50568935373991</v>
      </c>
      <c r="C19" s="1"/>
      <c r="D19" s="2"/>
      <c r="E19" s="1"/>
      <c r="F19" s="1"/>
      <c r="G19" s="1"/>
      <c r="H19" s="3"/>
    </row>
    <row r="20" spans="1:23" hidden="1" x14ac:dyDescent="0.25">
      <c r="A20" s="33" t="s">
        <v>16</v>
      </c>
      <c r="B20" s="36">
        <f>G13-K13-L13-M13</f>
        <v>4506.3189554735382</v>
      </c>
      <c r="C20" s="1"/>
      <c r="D20" s="2"/>
      <c r="E20" s="1"/>
      <c r="F20" s="1"/>
      <c r="G20" s="1"/>
      <c r="H20" s="3"/>
    </row>
    <row r="21" spans="1:23" hidden="1" x14ac:dyDescent="0.25">
      <c r="A21" s="33" t="s">
        <v>83</v>
      </c>
      <c r="B21" s="41">
        <f>C27</f>
        <v>1.1086540541899614E-2</v>
      </c>
      <c r="C21" s="1"/>
      <c r="D21" s="2"/>
      <c r="E21" s="1"/>
      <c r="F21" s="1"/>
      <c r="G21" s="1"/>
      <c r="H21" s="3"/>
    </row>
    <row r="22" spans="1:23" hidden="1" x14ac:dyDescent="0.25">
      <c r="A22" s="33" t="s">
        <v>84</v>
      </c>
      <c r="B22" s="41">
        <f>D27</f>
        <v>0.14360000000000001</v>
      </c>
      <c r="C22" s="1"/>
      <c r="D22" s="2"/>
      <c r="E22" s="1"/>
      <c r="F22" s="1"/>
      <c r="G22" s="1"/>
      <c r="H22" s="3"/>
      <c r="Q22" s="9"/>
      <c r="R22" s="9"/>
      <c r="S22" s="9"/>
      <c r="T22" s="9"/>
      <c r="U22" s="9"/>
      <c r="V22" s="9"/>
      <c r="W22" s="9"/>
    </row>
    <row r="23" spans="1:23" hidden="1" x14ac:dyDescent="0.25">
      <c r="B23" s="3"/>
      <c r="C23" s="1"/>
      <c r="D23" s="2"/>
      <c r="E23" s="1"/>
      <c r="F23" s="1"/>
      <c r="G23" s="1"/>
      <c r="H23" s="3"/>
      <c r="Q23" s="1"/>
    </row>
    <row r="24" spans="1:23" hidden="1" x14ac:dyDescent="0.25">
      <c r="B24" s="3"/>
      <c r="C24" s="1"/>
      <c r="D24" s="2"/>
      <c r="E24" s="1"/>
      <c r="F24" s="1"/>
      <c r="G24" s="1"/>
      <c r="H24" s="3"/>
    </row>
    <row r="25" spans="1:23" hidden="1" x14ac:dyDescent="0.25">
      <c r="B25" s="3"/>
      <c r="C25" s="1"/>
      <c r="D25" s="2"/>
      <c r="E25" s="1"/>
      <c r="F25" s="1"/>
      <c r="G25" s="1"/>
      <c r="H25" s="3"/>
      <c r="Q25" s="3"/>
    </row>
    <row r="26" spans="1:23" s="5" customFormat="1" hidden="1" x14ac:dyDescent="0.25">
      <c r="B26" s="180" t="s">
        <v>61</v>
      </c>
      <c r="C26" s="50" t="s">
        <v>62</v>
      </c>
      <c r="D26" s="51" t="s">
        <v>63</v>
      </c>
      <c r="E26" s="10"/>
      <c r="F26" s="181" t="s">
        <v>64</v>
      </c>
      <c r="G26" s="50" t="s">
        <v>62</v>
      </c>
      <c r="H26" s="51" t="s">
        <v>63</v>
      </c>
    </row>
    <row r="27" spans="1:23" s="5" customFormat="1" hidden="1" x14ac:dyDescent="0.25">
      <c r="B27" s="180"/>
      <c r="C27" s="54">
        <f>(XIRR(D31:D37,C31:C37,0)+1)^(30/365)-1</f>
        <v>1.1086540541899614E-2</v>
      </c>
      <c r="D27" s="54">
        <f>ROUND((((C27+1)^(365/30)-1)),4)</f>
        <v>0.14360000000000001</v>
      </c>
      <c r="E27" s="10"/>
      <c r="F27" s="181"/>
      <c r="G27" s="54">
        <f>(XIRR(H31:H37,G31:G37,0)+1)^(30/365)-1</f>
        <v>1.0000000271553233E-2</v>
      </c>
      <c r="H27" s="54">
        <f>ROUND((((G27+1)^(360/30)-1)),4)</f>
        <v>0.1268</v>
      </c>
    </row>
    <row r="28" spans="1:23" hidden="1" x14ac:dyDescent="0.25">
      <c r="C28" s="1"/>
      <c r="D28" s="2"/>
      <c r="E28" s="1"/>
      <c r="F28" s="1"/>
      <c r="G28" s="1"/>
      <c r="H28" s="3"/>
    </row>
    <row r="29" spans="1:23" hidden="1" x14ac:dyDescent="0.25">
      <c r="C29" s="1"/>
      <c r="D29" s="2"/>
      <c r="E29" s="1"/>
      <c r="F29" s="1"/>
      <c r="G29" s="1"/>
      <c r="H29" s="3"/>
    </row>
    <row r="30" spans="1:23" hidden="1" x14ac:dyDescent="0.25">
      <c r="C30" s="182" t="s">
        <v>61</v>
      </c>
      <c r="D30" s="182"/>
      <c r="E30" s="1"/>
      <c r="F30" s="1"/>
      <c r="G30" s="182" t="s">
        <v>64</v>
      </c>
      <c r="H30" s="182"/>
    </row>
    <row r="31" spans="1:23" hidden="1" x14ac:dyDescent="0.25">
      <c r="C31" s="49">
        <f>B1</f>
        <v>44197</v>
      </c>
      <c r="D31" s="36">
        <f>-M13</f>
        <v>-12791.695355172722</v>
      </c>
      <c r="E31" s="1"/>
      <c r="F31" s="1"/>
      <c r="G31" s="49">
        <f>B1</f>
        <v>44197</v>
      </c>
      <c r="H31" s="36">
        <f>-J13</f>
        <v>-13172.201044526462</v>
      </c>
      <c r="M31" s="4"/>
      <c r="N31" s="3"/>
    </row>
    <row r="32" spans="1:23" hidden="1" x14ac:dyDescent="0.25">
      <c r="C32" s="49">
        <f>A7</f>
        <v>44352</v>
      </c>
      <c r="D32" s="36">
        <f>G7</f>
        <v>3900</v>
      </c>
      <c r="E32" s="1"/>
      <c r="F32" s="1"/>
      <c r="G32" s="49">
        <f>A7</f>
        <v>44352</v>
      </c>
      <c r="H32" s="36">
        <f>G7</f>
        <v>3900</v>
      </c>
      <c r="M32" s="4"/>
      <c r="N32" s="3"/>
    </row>
    <row r="33" spans="3:14" hidden="1" x14ac:dyDescent="0.25">
      <c r="C33" s="49">
        <f t="shared" ref="C33:C37" si="14">A8</f>
        <v>44717</v>
      </c>
      <c r="D33" s="36">
        <f t="shared" ref="D33:D37" si="15">G8</f>
        <v>3510</v>
      </c>
      <c r="E33" s="1"/>
      <c r="F33" s="1"/>
      <c r="G33" s="49">
        <f t="shared" ref="G33:G37" si="16">A8</f>
        <v>44717</v>
      </c>
      <c r="H33" s="36">
        <f t="shared" ref="H33:H37" si="17">G8</f>
        <v>3510</v>
      </c>
      <c r="M33" s="4"/>
      <c r="N33" s="3"/>
    </row>
    <row r="34" spans="3:14" hidden="1" x14ac:dyDescent="0.25">
      <c r="C34" s="49">
        <f t="shared" si="14"/>
        <v>45082</v>
      </c>
      <c r="D34" s="36">
        <f t="shared" si="15"/>
        <v>3038.5</v>
      </c>
      <c r="E34" s="1"/>
      <c r="F34" s="1"/>
      <c r="G34" s="49">
        <f t="shared" si="16"/>
        <v>45082</v>
      </c>
      <c r="H34" s="36">
        <f t="shared" si="17"/>
        <v>3038.5</v>
      </c>
      <c r="M34" s="4"/>
      <c r="N34" s="3"/>
    </row>
    <row r="35" spans="3:14" hidden="1" x14ac:dyDescent="0.25">
      <c r="C35" s="49">
        <f t="shared" si="14"/>
        <v>45448</v>
      </c>
      <c r="D35" s="36">
        <f t="shared" si="15"/>
        <v>2560.3000000000002</v>
      </c>
      <c r="E35" s="1"/>
      <c r="F35" s="1"/>
      <c r="G35" s="49">
        <f t="shared" si="16"/>
        <v>45448</v>
      </c>
      <c r="H35" s="36">
        <f t="shared" si="17"/>
        <v>2560.3000000000002</v>
      </c>
      <c r="M35" s="4"/>
      <c r="N35" s="3"/>
    </row>
    <row r="36" spans="3:14" hidden="1" x14ac:dyDescent="0.25">
      <c r="C36" s="49">
        <f t="shared" si="14"/>
        <v>45813</v>
      </c>
      <c r="D36" s="36">
        <f t="shared" si="15"/>
        <v>2048.2399999999998</v>
      </c>
      <c r="E36" s="1"/>
      <c r="F36" s="1"/>
      <c r="G36" s="49">
        <f t="shared" si="16"/>
        <v>45813</v>
      </c>
      <c r="H36" s="36">
        <f t="shared" si="17"/>
        <v>2048.2399999999998</v>
      </c>
      <c r="M36" s="4"/>
      <c r="N36" s="3"/>
    </row>
    <row r="37" spans="3:14" hidden="1" x14ac:dyDescent="0.25">
      <c r="C37" s="49">
        <f t="shared" si="14"/>
        <v>46178</v>
      </c>
      <c r="D37" s="36">
        <f t="shared" si="15"/>
        <v>2621.48</v>
      </c>
      <c r="E37" s="1"/>
      <c r="F37" s="1"/>
      <c r="G37" s="49">
        <f t="shared" si="16"/>
        <v>46178</v>
      </c>
      <c r="H37" s="36">
        <f t="shared" si="17"/>
        <v>2621.48</v>
      </c>
      <c r="M37" s="4"/>
      <c r="N37" s="3"/>
    </row>
    <row r="38" spans="3:14" hidden="1" x14ac:dyDescent="0.25">
      <c r="C38" s="1"/>
      <c r="D38" s="2"/>
      <c r="E38" s="1"/>
      <c r="F38" s="1"/>
      <c r="G38" s="1"/>
      <c r="H38" s="3"/>
    </row>
    <row r="39" spans="3:14" hidden="1" x14ac:dyDescent="0.25">
      <c r="C39" s="1"/>
      <c r="D39" s="2"/>
      <c r="E39" s="1"/>
      <c r="F39" s="1"/>
      <c r="G39" s="1"/>
      <c r="H39" s="3"/>
    </row>
    <row r="40" spans="3:14" hidden="1" x14ac:dyDescent="0.25">
      <c r="C40" s="1"/>
      <c r="D40" s="2"/>
      <c r="E40" s="1"/>
      <c r="F40" s="1"/>
      <c r="G40" s="1"/>
      <c r="H40" s="3"/>
    </row>
    <row r="41" spans="3:14" hidden="1" x14ac:dyDescent="0.25">
      <c r="C41" s="1"/>
      <c r="D41" s="2"/>
      <c r="E41" s="1"/>
      <c r="F41" s="1"/>
      <c r="G41" s="1"/>
      <c r="H41" s="3"/>
    </row>
    <row r="42" spans="3:14" hidden="1" x14ac:dyDescent="0.25">
      <c r="C42" s="1"/>
      <c r="D42" s="2"/>
      <c r="E42" s="1"/>
      <c r="F42" s="1"/>
      <c r="G42" s="1"/>
      <c r="H42" s="3"/>
    </row>
    <row r="43" spans="3:14" hidden="1" x14ac:dyDescent="0.25">
      <c r="C43" s="1"/>
      <c r="D43" s="2"/>
      <c r="E43" s="1"/>
      <c r="F43" s="1"/>
      <c r="G43" s="1"/>
      <c r="H43" s="3"/>
    </row>
    <row r="44" spans="3:14" hidden="1" x14ac:dyDescent="0.25">
      <c r="C44" s="1"/>
      <c r="D44" s="2"/>
      <c r="E44" s="1"/>
      <c r="F44" s="1"/>
      <c r="G44" s="1"/>
      <c r="H44" s="3"/>
    </row>
    <row r="45" spans="3:14" hidden="1" x14ac:dyDescent="0.25">
      <c r="C45" s="1"/>
      <c r="D45" s="2"/>
      <c r="E45" s="1"/>
      <c r="F45" s="1"/>
      <c r="G45" s="1"/>
      <c r="H45" s="3"/>
    </row>
    <row r="46" spans="3:14" hidden="1" x14ac:dyDescent="0.25">
      <c r="C46" s="1"/>
      <c r="D46" s="2"/>
      <c r="E46" s="1"/>
      <c r="F46" s="1"/>
      <c r="G46" s="1"/>
      <c r="H46" s="3"/>
    </row>
    <row r="47" spans="3:14" hidden="1" x14ac:dyDescent="0.25">
      <c r="C47" s="1"/>
      <c r="D47" s="2"/>
      <c r="E47" s="1"/>
      <c r="F47" s="1"/>
      <c r="G47" s="1"/>
      <c r="H47" s="3"/>
    </row>
    <row r="48" spans="3:14" hidden="1" x14ac:dyDescent="0.25">
      <c r="C48" s="1"/>
      <c r="D48" s="2"/>
      <c r="E48" s="1"/>
      <c r="F48" s="1"/>
      <c r="G48" s="1"/>
      <c r="H48" s="3"/>
    </row>
    <row r="49" spans="3:8" hidden="1" x14ac:dyDescent="0.25">
      <c r="C49" s="1"/>
      <c r="D49" s="2"/>
      <c r="E49" s="1"/>
      <c r="F49" s="1"/>
      <c r="G49" s="1"/>
      <c r="H49" s="3"/>
    </row>
    <row r="50" spans="3:8" hidden="1" x14ac:dyDescent="0.25">
      <c r="C50" s="1"/>
      <c r="D50" s="2"/>
      <c r="E50" s="1"/>
      <c r="F50" s="1"/>
      <c r="G50" s="1"/>
      <c r="H50" s="3"/>
    </row>
    <row r="51" spans="3:8" hidden="1" x14ac:dyDescent="0.25">
      <c r="C51" s="1"/>
      <c r="D51" s="2"/>
      <c r="E51" s="1"/>
      <c r="F51" s="1"/>
      <c r="G51" s="1"/>
      <c r="H51" s="3"/>
    </row>
    <row r="52" spans="3:8" hidden="1" x14ac:dyDescent="0.25">
      <c r="C52" s="1"/>
      <c r="D52" s="2"/>
      <c r="E52" s="1"/>
      <c r="F52" s="1"/>
      <c r="G52" s="1"/>
      <c r="H52" s="3"/>
    </row>
    <row r="53" spans="3:8" hidden="1" x14ac:dyDescent="0.25">
      <c r="C53" s="1"/>
      <c r="D53" s="2"/>
      <c r="E53" s="1"/>
      <c r="F53" s="1"/>
      <c r="G53" s="1"/>
      <c r="H53" s="3"/>
    </row>
    <row r="54" spans="3:8" hidden="1" x14ac:dyDescent="0.25">
      <c r="C54" s="1"/>
      <c r="D54" s="2"/>
      <c r="E54" s="1"/>
      <c r="F54" s="1"/>
      <c r="G54" s="1"/>
      <c r="H54" s="3"/>
    </row>
    <row r="55" spans="3:8" hidden="1" x14ac:dyDescent="0.25">
      <c r="C55" s="1"/>
      <c r="D55" s="2"/>
      <c r="E55" s="1"/>
      <c r="F55" s="1"/>
      <c r="G55" s="1"/>
      <c r="H55" s="3"/>
    </row>
    <row r="56" spans="3:8" hidden="1" x14ac:dyDescent="0.25">
      <c r="C56" s="1"/>
      <c r="D56" s="2"/>
      <c r="E56" s="1"/>
      <c r="F56" s="1"/>
      <c r="G56" s="1"/>
      <c r="H56" s="3"/>
    </row>
    <row r="57" spans="3:8" hidden="1" x14ac:dyDescent="0.25">
      <c r="C57" s="1"/>
      <c r="D57" s="2"/>
      <c r="E57" s="1"/>
      <c r="F57" s="1"/>
      <c r="G57" s="1"/>
      <c r="H57" s="3"/>
    </row>
    <row r="58" spans="3:8" hidden="1" x14ac:dyDescent="0.25">
      <c r="C58" s="1"/>
      <c r="D58" s="2"/>
      <c r="E58" s="1"/>
      <c r="F58" s="1"/>
      <c r="G58" s="1"/>
      <c r="H58" s="3"/>
    </row>
    <row r="59" spans="3:8" hidden="1" x14ac:dyDescent="0.25">
      <c r="C59" s="1"/>
      <c r="D59" s="2"/>
      <c r="E59" s="1"/>
      <c r="F59" s="1"/>
      <c r="G59" s="1"/>
      <c r="H59" s="3"/>
    </row>
    <row r="60" spans="3:8" x14ac:dyDescent="0.25">
      <c r="C60" s="1"/>
      <c r="D60" s="2"/>
      <c r="E60" s="1"/>
      <c r="F60" s="1"/>
      <c r="G60" s="1"/>
      <c r="H60" s="3"/>
    </row>
    <row r="61" spans="3:8" x14ac:dyDescent="0.25">
      <c r="C61" s="1"/>
      <c r="D61" s="2"/>
      <c r="E61" s="1"/>
      <c r="F61" s="1"/>
      <c r="G61" s="1"/>
      <c r="H61" s="3"/>
    </row>
    <row r="62" spans="3:8" x14ac:dyDescent="0.25">
      <c r="C62" s="1"/>
      <c r="D62" s="2"/>
      <c r="E62" s="1"/>
      <c r="F62" s="1"/>
      <c r="G62" s="1"/>
      <c r="H62" s="3"/>
    </row>
    <row r="63" spans="3:8" x14ac:dyDescent="0.25">
      <c r="C63" s="1"/>
      <c r="D63" s="2"/>
      <c r="E63" s="1"/>
      <c r="F63" s="1"/>
      <c r="G63" s="1"/>
      <c r="H63" s="3"/>
    </row>
    <row r="64" spans="3:8" x14ac:dyDescent="0.25">
      <c r="C64" s="1"/>
      <c r="D64" s="2"/>
      <c r="E64" s="1"/>
      <c r="F64" s="1"/>
      <c r="G64" s="1"/>
      <c r="H64" s="3"/>
    </row>
    <row r="65" spans="3:8" x14ac:dyDescent="0.25">
      <c r="C65" s="1"/>
      <c r="D65" s="2"/>
      <c r="E65" s="1"/>
      <c r="F65" s="1"/>
      <c r="G65" s="1"/>
      <c r="H65" s="3"/>
    </row>
    <row r="66" spans="3:8" x14ac:dyDescent="0.25">
      <c r="C66" s="1"/>
      <c r="D66" s="2"/>
      <c r="E66" s="1"/>
      <c r="F66" s="1"/>
      <c r="G66" s="1"/>
      <c r="H66" s="3"/>
    </row>
    <row r="67" spans="3:8" x14ac:dyDescent="0.25">
      <c r="C67" s="1"/>
      <c r="D67" s="2"/>
      <c r="E67" s="1"/>
      <c r="F67" s="1"/>
      <c r="G67" s="1"/>
      <c r="H67" s="3"/>
    </row>
    <row r="68" spans="3:8" x14ac:dyDescent="0.25">
      <c r="C68" s="1"/>
      <c r="D68" s="2"/>
      <c r="E68" s="1"/>
      <c r="F68" s="1"/>
      <c r="G68" s="1"/>
      <c r="H68" s="3"/>
    </row>
    <row r="69" spans="3:8" x14ac:dyDescent="0.25">
      <c r="C69" s="1"/>
      <c r="D69" s="2"/>
      <c r="E69" s="1"/>
      <c r="F69" s="1"/>
      <c r="G69" s="1"/>
      <c r="H69" s="3"/>
    </row>
    <row r="70" spans="3:8" x14ac:dyDescent="0.25">
      <c r="C70" s="1"/>
      <c r="D70" s="2"/>
      <c r="E70" s="1"/>
      <c r="F70" s="1"/>
      <c r="G70" s="1"/>
      <c r="H70" s="3"/>
    </row>
    <row r="71" spans="3:8" x14ac:dyDescent="0.25">
      <c r="C71" s="1"/>
      <c r="D71" s="2"/>
      <c r="E71" s="1"/>
      <c r="F71" s="1"/>
      <c r="G71" s="1"/>
      <c r="H71" s="3"/>
    </row>
    <row r="72" spans="3:8" x14ac:dyDescent="0.25">
      <c r="C72" s="1"/>
      <c r="D72" s="2"/>
      <c r="E72" s="1"/>
      <c r="F72" s="1"/>
      <c r="G72" s="1"/>
      <c r="H72" s="3"/>
    </row>
    <row r="73" spans="3:8" x14ac:dyDescent="0.25">
      <c r="C73" s="1"/>
      <c r="D73" s="2"/>
      <c r="E73" s="1"/>
      <c r="F73" s="1"/>
      <c r="G73" s="1"/>
      <c r="H73" s="3"/>
    </row>
    <row r="74" spans="3:8" x14ac:dyDescent="0.25">
      <c r="C74" s="1"/>
      <c r="D74" s="2"/>
      <c r="E74" s="1"/>
      <c r="F74" s="1"/>
      <c r="G74" s="1"/>
      <c r="H74" s="3"/>
    </row>
    <row r="75" spans="3:8" x14ac:dyDescent="0.25">
      <c r="C75" s="1"/>
      <c r="D75" s="2"/>
      <c r="E75" s="1"/>
      <c r="F75" s="1"/>
      <c r="G75" s="1"/>
      <c r="H75" s="3"/>
    </row>
    <row r="76" spans="3:8" x14ac:dyDescent="0.25">
      <c r="C76" s="1"/>
      <c r="D76" s="2"/>
      <c r="E76" s="1"/>
      <c r="F76" s="1"/>
      <c r="G76" s="1"/>
      <c r="H76" s="3"/>
    </row>
    <row r="77" spans="3:8" x14ac:dyDescent="0.25">
      <c r="C77" s="1"/>
      <c r="D77" s="2"/>
      <c r="E77" s="1"/>
      <c r="F77" s="1"/>
      <c r="G77" s="1"/>
      <c r="H77" s="3"/>
    </row>
    <row r="78" spans="3:8" x14ac:dyDescent="0.25">
      <c r="C78" s="1"/>
      <c r="D78" s="2"/>
      <c r="E78" s="1"/>
      <c r="F78" s="1"/>
      <c r="G78" s="1"/>
      <c r="H78" s="3"/>
    </row>
    <row r="79" spans="3:8" x14ac:dyDescent="0.25">
      <c r="C79" s="1"/>
      <c r="D79" s="2"/>
      <c r="E79" s="1"/>
      <c r="F79" s="1"/>
      <c r="G79" s="1"/>
      <c r="H79" s="3"/>
    </row>
    <row r="80" spans="3:8" x14ac:dyDescent="0.25">
      <c r="C80" s="1"/>
      <c r="D80" s="2"/>
      <c r="E80" s="1"/>
      <c r="F80" s="1"/>
      <c r="G80" s="1"/>
      <c r="H80" s="3"/>
    </row>
    <row r="81" spans="3:8" x14ac:dyDescent="0.25">
      <c r="C81" s="1"/>
      <c r="D81" s="2"/>
      <c r="E81" s="1"/>
      <c r="F81" s="1"/>
      <c r="G81" s="1"/>
      <c r="H81" s="3"/>
    </row>
    <row r="82" spans="3:8" x14ac:dyDescent="0.25">
      <c r="C82" s="1"/>
      <c r="D82" s="2"/>
      <c r="E82" s="1"/>
      <c r="F82" s="1"/>
      <c r="G82" s="1"/>
      <c r="H82" s="3"/>
    </row>
    <row r="83" spans="3:8" x14ac:dyDescent="0.25">
      <c r="C83" s="1"/>
      <c r="D83" s="2"/>
      <c r="E83" s="1"/>
      <c r="F83" s="1"/>
      <c r="G83" s="1"/>
      <c r="H83" s="3"/>
    </row>
    <row r="84" spans="3:8" x14ac:dyDescent="0.25">
      <c r="C84" s="1"/>
      <c r="D84" s="2"/>
      <c r="E84" s="1"/>
      <c r="F84" s="1"/>
      <c r="G84" s="1"/>
      <c r="H84" s="3"/>
    </row>
    <row r="85" spans="3:8" x14ac:dyDescent="0.25">
      <c r="C85" s="1"/>
      <c r="D85" s="2"/>
      <c r="E85" s="1"/>
      <c r="F85" s="1"/>
      <c r="G85" s="1"/>
      <c r="H85" s="3"/>
    </row>
    <row r="86" spans="3:8" x14ac:dyDescent="0.25">
      <c r="C86" s="1"/>
      <c r="D86" s="2"/>
      <c r="E86" s="1"/>
      <c r="F86" s="1"/>
      <c r="G86" s="1"/>
      <c r="H86" s="3"/>
    </row>
    <row r="87" spans="3:8" x14ac:dyDescent="0.25">
      <c r="C87" s="1"/>
      <c r="D87" s="2"/>
      <c r="E87" s="1"/>
      <c r="F87" s="1"/>
      <c r="G87" s="1"/>
      <c r="H87" s="3"/>
    </row>
    <row r="88" spans="3:8" x14ac:dyDescent="0.25">
      <c r="C88" s="1"/>
      <c r="D88" s="2"/>
      <c r="E88" s="1"/>
      <c r="F88" s="1"/>
      <c r="G88" s="1"/>
      <c r="H88" s="3"/>
    </row>
    <row r="89" spans="3:8" x14ac:dyDescent="0.25">
      <c r="C89" s="1"/>
      <c r="D89" s="2"/>
      <c r="E89" s="1"/>
      <c r="F89" s="1"/>
      <c r="G89" s="1"/>
      <c r="H89" s="3"/>
    </row>
    <row r="90" spans="3:8" x14ac:dyDescent="0.25">
      <c r="C90" s="1"/>
      <c r="D90" s="2"/>
      <c r="E90" s="1"/>
      <c r="F90" s="1"/>
      <c r="G90" s="1"/>
      <c r="H90" s="3"/>
    </row>
    <row r="91" spans="3:8" x14ac:dyDescent="0.25">
      <c r="C91" s="1"/>
      <c r="D91" s="2"/>
      <c r="E91" s="1"/>
      <c r="F91" s="1"/>
      <c r="G91" s="1"/>
      <c r="H91" s="3"/>
    </row>
    <row r="92" spans="3:8" x14ac:dyDescent="0.25">
      <c r="C92" s="1"/>
      <c r="D92" s="2"/>
      <c r="E92" s="1"/>
      <c r="F92" s="1"/>
      <c r="G92" s="1"/>
      <c r="H92" s="3"/>
    </row>
    <row r="93" spans="3:8" x14ac:dyDescent="0.25">
      <c r="C93" s="1"/>
      <c r="D93" s="2"/>
      <c r="E93" s="1"/>
      <c r="F93" s="1"/>
      <c r="G93" s="1"/>
      <c r="H93" s="3"/>
    </row>
    <row r="94" spans="3:8" x14ac:dyDescent="0.25">
      <c r="C94" s="1"/>
      <c r="D94" s="2"/>
      <c r="E94" s="1"/>
      <c r="F94" s="1"/>
      <c r="G94" s="1"/>
      <c r="H94" s="3"/>
    </row>
    <row r="95" spans="3:8" x14ac:dyDescent="0.25">
      <c r="C95" s="1"/>
      <c r="D95" s="2"/>
      <c r="E95" s="1"/>
      <c r="F95" s="1"/>
      <c r="G95" s="1"/>
      <c r="H95" s="3"/>
    </row>
    <row r="96" spans="3:8" x14ac:dyDescent="0.25">
      <c r="C96" s="1"/>
      <c r="D96" s="2"/>
      <c r="E96" s="1"/>
      <c r="F96" s="1"/>
      <c r="G96" s="1"/>
      <c r="H96" s="3"/>
    </row>
    <row r="97" spans="3:8" x14ac:dyDescent="0.25">
      <c r="C97" s="1"/>
      <c r="D97" s="2"/>
      <c r="E97" s="1"/>
      <c r="F97" s="1"/>
      <c r="G97" s="1"/>
      <c r="H97" s="3"/>
    </row>
    <row r="98" spans="3:8" x14ac:dyDescent="0.25">
      <c r="C98" s="1"/>
      <c r="D98" s="2"/>
      <c r="E98" s="1"/>
      <c r="F98" s="1"/>
      <c r="G98" s="1"/>
      <c r="H98" s="3"/>
    </row>
    <row r="99" spans="3:8" x14ac:dyDescent="0.25">
      <c r="C99" s="1"/>
      <c r="D99" s="2"/>
      <c r="E99" s="1"/>
      <c r="F99" s="1"/>
      <c r="G99" s="1"/>
      <c r="H99" s="3"/>
    </row>
    <row r="100" spans="3:8" x14ac:dyDescent="0.25">
      <c r="C100" s="1"/>
      <c r="D100" s="2"/>
      <c r="E100" s="1"/>
      <c r="F100" s="1"/>
      <c r="G100" s="1"/>
      <c r="H100" s="3"/>
    </row>
    <row r="101" spans="3:8" x14ac:dyDescent="0.25">
      <c r="C101" s="1"/>
      <c r="D101" s="2"/>
      <c r="E101" s="1"/>
      <c r="F101" s="1"/>
      <c r="G101" s="1"/>
      <c r="H101" s="3"/>
    </row>
    <row r="102" spans="3:8" x14ac:dyDescent="0.25">
      <c r="C102" s="1"/>
      <c r="D102" s="2"/>
      <c r="E102" s="1"/>
      <c r="F102" s="1"/>
      <c r="G102" s="1"/>
      <c r="H102" s="3"/>
    </row>
    <row r="103" spans="3:8" x14ac:dyDescent="0.25">
      <c r="C103" s="1"/>
      <c r="D103" s="2"/>
      <c r="E103" s="1"/>
      <c r="F103" s="1"/>
      <c r="G103" s="1"/>
      <c r="H103" s="3"/>
    </row>
    <row r="104" spans="3:8" x14ac:dyDescent="0.25">
      <c r="C104" s="1"/>
      <c r="D104" s="2"/>
      <c r="E104" s="1"/>
      <c r="F104" s="1"/>
      <c r="G104" s="1"/>
      <c r="H104" s="3"/>
    </row>
    <row r="105" spans="3:8" x14ac:dyDescent="0.25">
      <c r="C105" s="1"/>
      <c r="D105" s="2"/>
      <c r="E105" s="1"/>
      <c r="F105" s="1"/>
      <c r="G105" s="1"/>
      <c r="H105" s="3"/>
    </row>
    <row r="106" spans="3:8" x14ac:dyDescent="0.25">
      <c r="C106" s="1"/>
      <c r="D106" s="2"/>
      <c r="E106" s="1"/>
      <c r="F106" s="1"/>
      <c r="G106" s="1"/>
      <c r="H106" s="3"/>
    </row>
    <row r="107" spans="3:8" x14ac:dyDescent="0.25">
      <c r="C107" s="1"/>
      <c r="D107" s="2"/>
      <c r="E107" s="1"/>
      <c r="F107" s="1"/>
      <c r="G107" s="1"/>
      <c r="H107" s="3"/>
    </row>
    <row r="108" spans="3:8" x14ac:dyDescent="0.25">
      <c r="C108" s="1"/>
      <c r="D108" s="2"/>
      <c r="E108" s="1"/>
      <c r="F108" s="1"/>
      <c r="G108" s="1"/>
      <c r="H108" s="3"/>
    </row>
    <row r="109" spans="3:8" x14ac:dyDescent="0.25">
      <c r="C109" s="1"/>
      <c r="D109" s="2"/>
      <c r="E109" s="1"/>
      <c r="F109" s="1"/>
      <c r="G109" s="1"/>
      <c r="H109" s="3"/>
    </row>
    <row r="110" spans="3:8" x14ac:dyDescent="0.25">
      <c r="C110" s="1"/>
      <c r="D110" s="2"/>
      <c r="E110" s="1"/>
      <c r="F110" s="1"/>
      <c r="G110" s="1"/>
      <c r="H110" s="3"/>
    </row>
    <row r="111" spans="3:8" x14ac:dyDescent="0.25">
      <c r="C111" s="1"/>
      <c r="D111" s="2"/>
      <c r="E111" s="1"/>
      <c r="F111" s="1"/>
      <c r="G111" s="1"/>
      <c r="H111" s="3"/>
    </row>
    <row r="112" spans="3:8" x14ac:dyDescent="0.25">
      <c r="C112" s="1"/>
      <c r="D112" s="2"/>
      <c r="E112" s="1"/>
      <c r="F112" s="1"/>
      <c r="G112" s="1"/>
      <c r="H112" s="3"/>
    </row>
    <row r="113" spans="3:8" x14ac:dyDescent="0.25">
      <c r="C113" s="1"/>
      <c r="D113" s="2"/>
      <c r="E113" s="1"/>
      <c r="F113" s="1"/>
      <c r="G113" s="1"/>
      <c r="H113" s="3"/>
    </row>
    <row r="114" spans="3:8" x14ac:dyDescent="0.25">
      <c r="C114" s="1"/>
      <c r="D114" s="2"/>
      <c r="E114" s="1"/>
      <c r="F114" s="1"/>
      <c r="G114" s="1"/>
      <c r="H114" s="3"/>
    </row>
    <row r="115" spans="3:8" x14ac:dyDescent="0.25">
      <c r="C115" s="1"/>
      <c r="D115" s="2"/>
      <c r="E115" s="1"/>
      <c r="F115" s="1"/>
      <c r="G115" s="1"/>
      <c r="H115" s="3"/>
    </row>
    <row r="116" spans="3:8" x14ac:dyDescent="0.25">
      <c r="C116" s="1"/>
      <c r="D116" s="2"/>
      <c r="E116" s="1"/>
      <c r="F116" s="1"/>
      <c r="G116" s="1"/>
      <c r="H116" s="3"/>
    </row>
    <row r="117" spans="3:8" x14ac:dyDescent="0.25">
      <c r="C117" s="1"/>
      <c r="D117" s="2"/>
      <c r="E117" s="1"/>
      <c r="F117" s="1"/>
      <c r="G117" s="1"/>
      <c r="H117" s="3"/>
    </row>
    <row r="118" spans="3:8" x14ac:dyDescent="0.25">
      <c r="C118" s="1"/>
      <c r="D118" s="2"/>
      <c r="E118" s="1"/>
      <c r="F118" s="1"/>
      <c r="G118" s="1"/>
      <c r="H118" s="3"/>
    </row>
    <row r="119" spans="3:8" x14ac:dyDescent="0.25">
      <c r="C119" s="1"/>
      <c r="D119" s="2"/>
      <c r="E119" s="1"/>
      <c r="F119" s="1"/>
      <c r="G119" s="1"/>
      <c r="H119" s="3"/>
    </row>
    <row r="120" spans="3:8" x14ac:dyDescent="0.25">
      <c r="C120" s="1"/>
      <c r="D120" s="2"/>
      <c r="E120" s="1"/>
      <c r="F120" s="1"/>
      <c r="G120" s="1"/>
      <c r="H120" s="3"/>
    </row>
    <row r="121" spans="3:8" x14ac:dyDescent="0.25">
      <c r="C121" s="1"/>
      <c r="D121" s="2"/>
      <c r="E121" s="1"/>
      <c r="F121" s="1"/>
      <c r="G121" s="1"/>
      <c r="H121" s="3"/>
    </row>
    <row r="122" spans="3:8" x14ac:dyDescent="0.25">
      <c r="C122" s="1"/>
      <c r="D122" s="2"/>
      <c r="E122" s="1"/>
      <c r="F122" s="1"/>
      <c r="G122" s="1"/>
      <c r="H122" s="3"/>
    </row>
    <row r="123" spans="3:8" x14ac:dyDescent="0.25">
      <c r="C123" s="1" t="str">
        <f t="shared" ref="C123:C128" si="18">IF(H122&lt;0.01,"",H122)</f>
        <v/>
      </c>
      <c r="D123" s="2" t="str">
        <f t="shared" ref="D123:D128" si="19">IF(C123="","",IF(C123&gt;20000,5%,IF(C123&gt;15000,10%,IF(C123&gt;10000,15%,IF(C123&gt;5000,20%,IF(C123&gt;1000,30%,IF(C123&gt;500,40%,50%)))))))</f>
        <v/>
      </c>
      <c r="E123" s="1" t="str">
        <f t="shared" ref="E123:E128" si="20">IF(D123="","",C123*D123)</f>
        <v/>
      </c>
      <c r="F123" s="1" t="str">
        <f t="shared" ref="F123:F128" si="21">IF(C123="","",IF(C123&gt;20000,2900,IF(C123&gt;15000,1900,IF(C123&gt;10000,1150,IF(C123&gt;5000,650,IF(C123&gt;1000,150,IF(C123&gt;500,50,0)))))))</f>
        <v/>
      </c>
      <c r="G123" s="1" t="str">
        <f t="shared" ref="G123:G128" si="22">IF(C123="","",F123+E123)</f>
        <v/>
      </c>
      <c r="H123" s="3" t="str">
        <f t="shared" ref="H123:H128" si="23">IF(C123="","",C123-G123)</f>
        <v/>
      </c>
    </row>
    <row r="124" spans="3:8" x14ac:dyDescent="0.25">
      <c r="C124" s="1" t="str">
        <f t="shared" si="18"/>
        <v/>
      </c>
      <c r="D124" s="2" t="str">
        <f t="shared" si="19"/>
        <v/>
      </c>
      <c r="E124" s="1" t="str">
        <f t="shared" si="20"/>
        <v/>
      </c>
      <c r="F124" s="1" t="str">
        <f t="shared" si="21"/>
        <v/>
      </c>
      <c r="G124" s="1" t="str">
        <f t="shared" si="22"/>
        <v/>
      </c>
      <c r="H124" s="3" t="str">
        <f t="shared" si="23"/>
        <v/>
      </c>
    </row>
    <row r="125" spans="3:8" x14ac:dyDescent="0.25">
      <c r="C125" s="1" t="str">
        <f t="shared" si="18"/>
        <v/>
      </c>
      <c r="D125" s="2" t="str">
        <f t="shared" si="19"/>
        <v/>
      </c>
      <c r="E125" s="1" t="str">
        <f t="shared" si="20"/>
        <v/>
      </c>
      <c r="F125" s="1" t="str">
        <f t="shared" si="21"/>
        <v/>
      </c>
      <c r="G125" s="1" t="str">
        <f t="shared" si="22"/>
        <v/>
      </c>
      <c r="H125" s="3" t="str">
        <f t="shared" si="23"/>
        <v/>
      </c>
    </row>
    <row r="126" spans="3:8" x14ac:dyDescent="0.25">
      <c r="C126" s="1" t="str">
        <f t="shared" si="18"/>
        <v/>
      </c>
      <c r="D126" s="2" t="str">
        <f t="shared" si="19"/>
        <v/>
      </c>
      <c r="E126" s="1" t="str">
        <f t="shared" si="20"/>
        <v/>
      </c>
      <c r="F126" s="1" t="str">
        <f t="shared" si="21"/>
        <v/>
      </c>
      <c r="G126" s="1" t="str">
        <f t="shared" si="22"/>
        <v/>
      </c>
      <c r="H126" s="3" t="str">
        <f t="shared" si="23"/>
        <v/>
      </c>
    </row>
    <row r="127" spans="3:8" x14ac:dyDescent="0.25">
      <c r="C127" s="1" t="str">
        <f t="shared" si="18"/>
        <v/>
      </c>
      <c r="D127" s="2" t="str">
        <f t="shared" si="19"/>
        <v/>
      </c>
      <c r="E127" s="1" t="str">
        <f t="shared" si="20"/>
        <v/>
      </c>
      <c r="F127" s="1" t="str">
        <f t="shared" si="21"/>
        <v/>
      </c>
      <c r="G127" s="1" t="str">
        <f t="shared" si="22"/>
        <v/>
      </c>
      <c r="H127" s="3" t="str">
        <f t="shared" si="23"/>
        <v/>
      </c>
    </row>
    <row r="128" spans="3:8" x14ac:dyDescent="0.25">
      <c r="C128" s="1" t="str">
        <f t="shared" si="18"/>
        <v/>
      </c>
      <c r="D128" s="2" t="str">
        <f t="shared" si="19"/>
        <v/>
      </c>
      <c r="E128" s="1" t="str">
        <f t="shared" si="20"/>
        <v/>
      </c>
      <c r="F128" s="1" t="str">
        <f t="shared" si="21"/>
        <v/>
      </c>
      <c r="G128" s="1" t="str">
        <f t="shared" si="22"/>
        <v/>
      </c>
      <c r="H128" s="3" t="str">
        <f t="shared" si="23"/>
        <v/>
      </c>
    </row>
  </sheetData>
  <sheetProtection algorithmName="SHA-512" hashValue="RF9OrQRKbV7Eyq1Q+jSli53BI1EckLs2c0Ne/Ucvq9z8LpgyyXhw7fSK9iZxQgyXHcIIb77xQWHamNArlryKiQ==" saltValue="8cAzsCdJlCqbPBhbV9yGwQ==" spinCount="100000" sheet="1" objects="1" scenarios="1"/>
  <mergeCells count="4">
    <mergeCell ref="B26:B27"/>
    <mergeCell ref="F26:F27"/>
    <mergeCell ref="C30:D30"/>
    <mergeCell ref="G30:H30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66F99-DCA6-4636-B9E3-8EB90B5527F1}">
  <dimension ref="A1:K25"/>
  <sheetViews>
    <sheetView topLeftCell="A26" workbookViewId="0">
      <selection activeCell="A25" sqref="A1:XFD25"/>
    </sheetView>
  </sheetViews>
  <sheetFormatPr defaultColWidth="9" defaultRowHeight="15" x14ac:dyDescent="0.25"/>
  <cols>
    <col min="1" max="1" width="31.5703125" bestFit="1" customWidth="1"/>
    <col min="2" max="2" width="13.140625" bestFit="1" customWidth="1"/>
    <col min="3" max="7" width="11.7109375" bestFit="1" customWidth="1"/>
    <col min="8" max="8" width="13.140625" bestFit="1" customWidth="1"/>
    <col min="9" max="9" width="114.7109375" bestFit="1" customWidth="1"/>
  </cols>
  <sheetData>
    <row r="1" spans="1:11" ht="15.75" hidden="1" thickBot="1" x14ac:dyDescent="0.3">
      <c r="A1" s="11"/>
      <c r="B1" s="12">
        <v>44378</v>
      </c>
      <c r="C1" s="13">
        <v>44409</v>
      </c>
      <c r="D1" s="13">
        <v>44440</v>
      </c>
      <c r="E1" s="13">
        <v>44470</v>
      </c>
      <c r="F1" s="13">
        <v>44501</v>
      </c>
      <c r="G1" s="13">
        <v>44531</v>
      </c>
      <c r="H1" s="13">
        <v>44562</v>
      </c>
    </row>
    <row r="2" spans="1:11" ht="15.75" hidden="1" thickBot="1" x14ac:dyDescent="0.3">
      <c r="A2" s="14" t="s">
        <v>66</v>
      </c>
      <c r="B2" s="15">
        <v>10000</v>
      </c>
      <c r="C2" s="15">
        <f t="shared" ref="C2:H2" si="0">B5</f>
        <v>10200</v>
      </c>
      <c r="D2" s="15">
        <f t="shared" si="0"/>
        <v>10600</v>
      </c>
      <c r="E2" s="15">
        <f t="shared" si="0"/>
        <v>11000</v>
      </c>
      <c r="F2" s="15">
        <f t="shared" si="0"/>
        <v>11400</v>
      </c>
      <c r="G2" s="15">
        <f t="shared" si="0"/>
        <v>11800</v>
      </c>
      <c r="H2" s="15">
        <f t="shared" si="0"/>
        <v>12200</v>
      </c>
    </row>
    <row r="3" spans="1:11" ht="15.75" hidden="1" thickBot="1" x14ac:dyDescent="0.3">
      <c r="A3" s="16" t="s">
        <v>67</v>
      </c>
      <c r="B3" s="15">
        <v>200</v>
      </c>
      <c r="C3" s="15">
        <v>400</v>
      </c>
      <c r="D3" s="15">
        <v>400</v>
      </c>
      <c r="E3" s="15">
        <v>400</v>
      </c>
      <c r="F3" s="15">
        <v>400</v>
      </c>
      <c r="G3" s="15">
        <v>400</v>
      </c>
      <c r="H3" s="15">
        <v>400</v>
      </c>
    </row>
    <row r="4" spans="1:11" ht="15.75" hidden="1" thickBot="1" x14ac:dyDescent="0.3">
      <c r="A4" s="16"/>
      <c r="B4" s="17"/>
      <c r="C4" s="17"/>
      <c r="D4" s="17"/>
      <c r="E4" s="17"/>
      <c r="F4" s="17"/>
      <c r="G4" s="17"/>
      <c r="H4" s="17"/>
    </row>
    <row r="5" spans="1:11" ht="15.75" hidden="1" thickBot="1" x14ac:dyDescent="0.3">
      <c r="A5" s="16" t="s">
        <v>68</v>
      </c>
      <c r="B5" s="15">
        <v>10200</v>
      </c>
      <c r="C5" s="15">
        <f t="shared" ref="C5:H5" si="1">C2+C3</f>
        <v>10600</v>
      </c>
      <c r="D5" s="15">
        <f t="shared" si="1"/>
        <v>11000</v>
      </c>
      <c r="E5" s="15">
        <f t="shared" si="1"/>
        <v>11400</v>
      </c>
      <c r="F5" s="15">
        <f t="shared" si="1"/>
        <v>11800</v>
      </c>
      <c r="G5" s="15">
        <f t="shared" si="1"/>
        <v>12200</v>
      </c>
      <c r="H5" s="15">
        <f t="shared" si="1"/>
        <v>12600</v>
      </c>
    </row>
    <row r="6" spans="1:11" hidden="1" x14ac:dyDescent="0.25">
      <c r="A6" s="11"/>
      <c r="B6" s="11"/>
      <c r="C6" s="11"/>
      <c r="D6" s="11"/>
      <c r="E6" s="11"/>
      <c r="F6" s="11"/>
      <c r="G6" s="11"/>
      <c r="H6" s="21"/>
    </row>
    <row r="7" spans="1:11" ht="15.75" hidden="1" thickBot="1" x14ac:dyDescent="0.3">
      <c r="A7" s="11"/>
      <c r="B7" s="11"/>
      <c r="C7" s="11"/>
      <c r="D7" s="11"/>
      <c r="E7" s="11"/>
      <c r="F7" s="11"/>
      <c r="G7" s="11"/>
      <c r="H7" s="21"/>
    </row>
    <row r="8" spans="1:11" ht="15.75" hidden="1" thickBot="1" x14ac:dyDescent="0.3">
      <c r="A8" s="14" t="s">
        <v>69</v>
      </c>
      <c r="B8" s="18">
        <v>2680</v>
      </c>
      <c r="C8" s="19"/>
      <c r="D8" s="19"/>
      <c r="E8" s="19"/>
      <c r="F8" s="19"/>
      <c r="G8" s="19"/>
      <c r="H8" s="22">
        <f>H5*15%+1150-B8</f>
        <v>360</v>
      </c>
      <c r="I8" t="s">
        <v>76</v>
      </c>
    </row>
    <row r="9" spans="1:11" ht="15.75" hidden="1" thickBot="1" x14ac:dyDescent="0.3">
      <c r="A9" s="16" t="s">
        <v>70</v>
      </c>
      <c r="B9" s="15">
        <v>2154</v>
      </c>
      <c r="C9" s="17"/>
      <c r="D9" s="17"/>
      <c r="E9" s="17"/>
      <c r="F9" s="17"/>
      <c r="G9" s="17"/>
      <c r="H9" s="23">
        <f>(H5-B8-H8)*20%+650-B9</f>
        <v>408</v>
      </c>
      <c r="I9" t="s">
        <v>77</v>
      </c>
    </row>
    <row r="10" spans="1:11" ht="15.75" hidden="1" thickBot="1" x14ac:dyDescent="0.3">
      <c r="A10" s="16" t="s">
        <v>71</v>
      </c>
      <c r="B10" s="15">
        <v>1723.2</v>
      </c>
      <c r="C10" s="17"/>
      <c r="D10" s="17"/>
      <c r="E10" s="17"/>
      <c r="F10" s="17"/>
      <c r="G10" s="17"/>
      <c r="H10" s="23">
        <f>(H5-B8-H8-B9-H9)*20%+650-B10</f>
        <v>326.40000000000032</v>
      </c>
      <c r="I10" t="s">
        <v>77</v>
      </c>
    </row>
    <row r="11" spans="1:11" ht="15.75" hidden="1" thickBot="1" x14ac:dyDescent="0.3">
      <c r="A11" s="16" t="s">
        <v>72</v>
      </c>
      <c r="B11" s="15">
        <v>0</v>
      </c>
      <c r="C11" s="17"/>
      <c r="D11" s="17"/>
      <c r="E11" s="17"/>
      <c r="F11" s="17"/>
      <c r="G11" s="17"/>
      <c r="H11" s="23">
        <f>(H5-B8-H8-B9-H9-B10-H10)*30%+150-B11</f>
        <v>1634.5199999999998</v>
      </c>
      <c r="I11" t="s">
        <v>77</v>
      </c>
      <c r="K11" s="26" t="s">
        <v>80</v>
      </c>
    </row>
    <row r="12" spans="1:11" ht="15.75" hidden="1" thickBot="1" x14ac:dyDescent="0.3">
      <c r="A12" s="16" t="s">
        <v>73</v>
      </c>
      <c r="B12" s="15">
        <v>0</v>
      </c>
      <c r="C12" s="17"/>
      <c r="D12" s="17"/>
      <c r="E12" s="17"/>
      <c r="F12" s="17"/>
      <c r="G12" s="17"/>
      <c r="H12" s="23">
        <f>(H5-B8-H8-B9-H9-B10-H10-B11-H11)*30%+150-B12</f>
        <v>1144.164</v>
      </c>
      <c r="I12" t="s">
        <v>77</v>
      </c>
    </row>
    <row r="13" spans="1:11" ht="15.75" hidden="1" thickBot="1" x14ac:dyDescent="0.3">
      <c r="A13" s="16" t="s">
        <v>74</v>
      </c>
      <c r="B13" s="15">
        <v>0</v>
      </c>
      <c r="C13" s="17"/>
      <c r="D13" s="17"/>
      <c r="E13" s="17"/>
      <c r="F13" s="17"/>
      <c r="G13" s="17"/>
      <c r="H13" s="23">
        <f>(H5-B8-H8-B9-H9-B10-H10-B11-H11-B12-H12)*30%+150-B13</f>
        <v>800.91480000000013</v>
      </c>
      <c r="I13" t="s">
        <v>77</v>
      </c>
    </row>
    <row r="14" spans="1:11" hidden="1" x14ac:dyDescent="0.25">
      <c r="A14" s="11"/>
      <c r="B14" s="11"/>
      <c r="C14" s="11"/>
      <c r="D14" s="11"/>
      <c r="E14" s="11"/>
      <c r="F14" s="11"/>
      <c r="G14" s="11"/>
      <c r="H14" s="21"/>
    </row>
    <row r="15" spans="1:11" hidden="1" x14ac:dyDescent="0.25">
      <c r="A15" s="20" t="s">
        <v>75</v>
      </c>
      <c r="B15" s="24">
        <f>SUM(B8:B13)</f>
        <v>6557.2</v>
      </c>
      <c r="C15" s="11"/>
      <c r="D15" s="11"/>
      <c r="E15" s="11"/>
      <c r="F15" s="11"/>
      <c r="G15" s="11"/>
      <c r="H15" s="24">
        <f>SUM(H8:H13)</f>
        <v>4673.9988000000003</v>
      </c>
    </row>
    <row r="16" spans="1:11" hidden="1" x14ac:dyDescent="0.25">
      <c r="B16" s="25" t="s">
        <v>78</v>
      </c>
      <c r="H16" s="25" t="s">
        <v>79</v>
      </c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</sheetData>
  <sheetProtection algorithmName="SHA-512" hashValue="8WldJfuFkLsNj2YnUZiBYDoFeUxNNDH2XZp6hZYwQeUFS9tQuF63ikMZrfNPTsrMfgnLUm/bU+E3OvSqUw7sGQ==" saltValue="t8Gvb/xh0R0Ft+c6bZ7p8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5AF9-2448-4E76-9497-086FD46E7CD5}">
  <dimension ref="A1:L39"/>
  <sheetViews>
    <sheetView showGridLines="0" topLeftCell="A40" workbookViewId="0">
      <selection activeCell="A39" sqref="A1:XFD39"/>
    </sheetView>
  </sheetViews>
  <sheetFormatPr defaultColWidth="9" defaultRowHeight="15" x14ac:dyDescent="0.25"/>
  <cols>
    <col min="1" max="1" width="36.5703125" bestFit="1" customWidth="1"/>
    <col min="2" max="2" width="14.7109375" bestFit="1" customWidth="1"/>
    <col min="3" max="9" width="14.42578125" bestFit="1" customWidth="1"/>
    <col min="10" max="10" width="60.42578125" customWidth="1"/>
  </cols>
  <sheetData>
    <row r="1" spans="1:12" ht="15.75" hidden="1" x14ac:dyDescent="0.25">
      <c r="A1" s="74"/>
      <c r="B1" s="75">
        <v>44348</v>
      </c>
      <c r="C1" s="75">
        <v>44378</v>
      </c>
      <c r="D1" s="75">
        <v>44409</v>
      </c>
      <c r="E1" s="75">
        <v>44440</v>
      </c>
      <c r="F1" s="75">
        <v>44470</v>
      </c>
      <c r="G1" s="75">
        <v>44501</v>
      </c>
      <c r="H1" s="75">
        <v>44531</v>
      </c>
      <c r="I1" s="75">
        <v>44562</v>
      </c>
      <c r="J1" s="76"/>
    </row>
    <row r="2" spans="1:12" ht="15.75" hidden="1" x14ac:dyDescent="0.25">
      <c r="A2" s="77" t="s">
        <v>66</v>
      </c>
      <c r="B2" s="78">
        <v>98500</v>
      </c>
      <c r="C2" s="78">
        <v>100000</v>
      </c>
      <c r="D2" s="78">
        <f t="shared" ref="D2:I2" si="0">C5</f>
        <v>101500</v>
      </c>
      <c r="E2" s="78">
        <f t="shared" si="0"/>
        <v>103000</v>
      </c>
      <c r="F2" s="78">
        <f t="shared" si="0"/>
        <v>104500</v>
      </c>
      <c r="G2" s="78">
        <f t="shared" si="0"/>
        <v>106000</v>
      </c>
      <c r="H2" s="78">
        <f t="shared" si="0"/>
        <v>107500</v>
      </c>
      <c r="I2" s="78">
        <f t="shared" si="0"/>
        <v>109000</v>
      </c>
      <c r="J2" s="76"/>
    </row>
    <row r="3" spans="1:12" ht="15.75" hidden="1" x14ac:dyDescent="0.25">
      <c r="A3" s="77" t="s">
        <v>67</v>
      </c>
      <c r="B3" s="78">
        <v>1500</v>
      </c>
      <c r="C3" s="78">
        <v>1500</v>
      </c>
      <c r="D3" s="78">
        <v>1500</v>
      </c>
      <c r="E3" s="78">
        <v>1500</v>
      </c>
      <c r="F3" s="78">
        <v>1500</v>
      </c>
      <c r="G3" s="78">
        <v>1500</v>
      </c>
      <c r="H3" s="78">
        <v>1500</v>
      </c>
      <c r="I3" s="78">
        <v>1500</v>
      </c>
      <c r="J3" s="76"/>
    </row>
    <row r="4" spans="1:12" ht="15.75" hidden="1" x14ac:dyDescent="0.25">
      <c r="A4" s="77"/>
      <c r="B4" s="77"/>
      <c r="C4" s="77"/>
      <c r="D4" s="77"/>
      <c r="E4" s="77"/>
      <c r="F4" s="77"/>
      <c r="G4" s="77"/>
      <c r="H4" s="77"/>
      <c r="I4" s="77"/>
      <c r="J4" s="76"/>
    </row>
    <row r="5" spans="1:12" ht="15.75" hidden="1" x14ac:dyDescent="0.25">
      <c r="A5" s="77" t="s">
        <v>68</v>
      </c>
      <c r="B5" s="78">
        <f>B2+B3</f>
        <v>100000</v>
      </c>
      <c r="C5" s="78">
        <f>C2+C3</f>
        <v>101500</v>
      </c>
      <c r="D5" s="78">
        <f t="shared" ref="D5:I5" si="1">D2+D3</f>
        <v>103000</v>
      </c>
      <c r="E5" s="78">
        <f t="shared" si="1"/>
        <v>104500</v>
      </c>
      <c r="F5" s="78">
        <f t="shared" si="1"/>
        <v>106000</v>
      </c>
      <c r="G5" s="78">
        <f t="shared" si="1"/>
        <v>107500</v>
      </c>
      <c r="H5" s="78">
        <f t="shared" si="1"/>
        <v>109000</v>
      </c>
      <c r="I5" s="78">
        <f t="shared" si="1"/>
        <v>110500</v>
      </c>
      <c r="J5" s="76"/>
    </row>
    <row r="6" spans="1:12" ht="15.75" hidden="1" x14ac:dyDescent="0.25">
      <c r="A6" s="74"/>
      <c r="B6" s="74"/>
      <c r="C6" s="74"/>
      <c r="D6" s="74"/>
      <c r="E6" s="74"/>
      <c r="F6" s="74"/>
      <c r="G6" s="74"/>
      <c r="H6" s="74"/>
      <c r="I6" s="79"/>
      <c r="J6" s="76"/>
    </row>
    <row r="7" spans="1:12" ht="41.25" hidden="1" customHeight="1" x14ac:dyDescent="0.25">
      <c r="A7" s="80" t="s">
        <v>128</v>
      </c>
      <c r="B7" s="81">
        <v>70000</v>
      </c>
      <c r="C7" s="78"/>
      <c r="D7" s="77"/>
      <c r="E7" s="77"/>
      <c r="F7" s="77"/>
      <c r="G7" s="77"/>
      <c r="H7" s="77"/>
      <c r="I7" s="82"/>
      <c r="J7" s="83" t="s">
        <v>127</v>
      </c>
    </row>
    <row r="8" spans="1:12" ht="15.75" hidden="1" x14ac:dyDescent="0.25">
      <c r="A8" s="74"/>
      <c r="B8" s="74"/>
      <c r="C8" s="74"/>
      <c r="D8" s="74"/>
      <c r="E8" s="74"/>
      <c r="F8" s="74"/>
      <c r="G8" s="74"/>
      <c r="H8" s="74"/>
      <c r="I8" s="79"/>
      <c r="J8" s="76"/>
    </row>
    <row r="9" spans="1:12" ht="41.25" hidden="1" customHeight="1" x14ac:dyDescent="0.25">
      <c r="A9" s="77" t="s">
        <v>69</v>
      </c>
      <c r="B9" s="77"/>
      <c r="C9" s="78">
        <f>(C5-B7)*5%+2900</f>
        <v>4475</v>
      </c>
      <c r="D9" s="77"/>
      <c r="E9" s="77"/>
      <c r="F9" s="77"/>
      <c r="G9" s="77"/>
      <c r="H9" s="77"/>
      <c r="I9" s="82">
        <f>(I5-B7)*5%+2900-C9</f>
        <v>450</v>
      </c>
      <c r="J9" s="83" t="s">
        <v>76</v>
      </c>
    </row>
    <row r="10" spans="1:12" ht="41.25" hidden="1" customHeight="1" x14ac:dyDescent="0.25">
      <c r="A10" s="77" t="s">
        <v>70</v>
      </c>
      <c r="B10" s="77"/>
      <c r="C10" s="78">
        <f>(C5-B7-C9)*5%+2900</f>
        <v>4251.25</v>
      </c>
      <c r="D10" s="77"/>
      <c r="E10" s="77"/>
      <c r="F10" s="77"/>
      <c r="G10" s="77"/>
      <c r="H10" s="77"/>
      <c r="I10" s="82">
        <f>(I5-B7-C9-I9)*5%+2900-C10</f>
        <v>427.5</v>
      </c>
      <c r="J10" s="83" t="s">
        <v>77</v>
      </c>
    </row>
    <row r="11" spans="1:12" ht="41.25" hidden="1" customHeight="1" x14ac:dyDescent="0.25">
      <c r="A11" s="77" t="s">
        <v>71</v>
      </c>
      <c r="B11" s="77"/>
      <c r="C11" s="78">
        <f>(C5-B7-C9-C10)*5%+2900</f>
        <v>4038.6875</v>
      </c>
      <c r="D11" s="77"/>
      <c r="E11" s="77"/>
      <c r="F11" s="77"/>
      <c r="G11" s="77"/>
      <c r="H11" s="77"/>
      <c r="I11" s="82">
        <f>(I5-B7-C9-I9-C10-I10)*5%+2900-C11</f>
        <v>406.125</v>
      </c>
      <c r="J11" s="83" t="s">
        <v>77</v>
      </c>
    </row>
    <row r="12" spans="1:12" ht="41.25" hidden="1" customHeight="1" x14ac:dyDescent="0.25">
      <c r="A12" s="77" t="s">
        <v>72</v>
      </c>
      <c r="B12" s="77"/>
      <c r="C12" s="78"/>
      <c r="D12" s="77"/>
      <c r="E12" s="77"/>
      <c r="F12" s="77"/>
      <c r="G12" s="77"/>
      <c r="H12" s="77"/>
      <c r="I12" s="82">
        <f>(I5-B7-C9-I9-C10-I10-C11-I11)*5%+2900-C12</f>
        <v>4222.5718749999996</v>
      </c>
      <c r="J12" s="83" t="s">
        <v>77</v>
      </c>
      <c r="L12" s="26" t="s">
        <v>80</v>
      </c>
    </row>
    <row r="13" spans="1:12" ht="41.25" hidden="1" customHeight="1" x14ac:dyDescent="0.25">
      <c r="A13" s="77" t="s">
        <v>73</v>
      </c>
      <c r="B13" s="77"/>
      <c r="C13" s="78"/>
      <c r="D13" s="77"/>
      <c r="E13" s="77"/>
      <c r="F13" s="77"/>
      <c r="G13" s="77"/>
      <c r="H13" s="77"/>
      <c r="I13" s="82">
        <f>(I5-B7-C9-I9-C10-I10-C11-I11-C12-I12)*5%+2900-C12</f>
        <v>4011.4432812499999</v>
      </c>
      <c r="J13" s="83" t="s">
        <v>77</v>
      </c>
    </row>
    <row r="14" spans="1:12" ht="41.25" hidden="1" customHeight="1" x14ac:dyDescent="0.25">
      <c r="A14" s="77" t="s">
        <v>74</v>
      </c>
      <c r="B14" s="77"/>
      <c r="C14" s="78"/>
      <c r="D14" s="77"/>
      <c r="E14" s="77"/>
      <c r="F14" s="77"/>
      <c r="G14" s="77"/>
      <c r="H14" s="77"/>
      <c r="I14" s="82">
        <f>(I5-B7-C9-I9-C10-I10-C11-I11-C12-I12-C13-I13)*5%+2900-C12</f>
        <v>3810.8711171874997</v>
      </c>
      <c r="J14" s="83" t="s">
        <v>77</v>
      </c>
    </row>
    <row r="15" spans="1:12" ht="18" hidden="1" customHeight="1" x14ac:dyDescent="0.25">
      <c r="A15" s="74"/>
      <c r="B15" s="74"/>
      <c r="C15" s="74"/>
      <c r="D15" s="74"/>
      <c r="E15" s="74"/>
      <c r="F15" s="74"/>
      <c r="G15" s="74"/>
      <c r="H15" s="74"/>
      <c r="I15" s="79"/>
      <c r="J15" s="76"/>
    </row>
    <row r="16" spans="1:12" ht="15.75" hidden="1" x14ac:dyDescent="0.25">
      <c r="A16" s="84" t="s">
        <v>129</v>
      </c>
      <c r="B16" s="84"/>
      <c r="C16" s="85">
        <f>SUM(C9:C14)</f>
        <v>12764.9375</v>
      </c>
      <c r="D16" s="74"/>
      <c r="E16" s="74"/>
      <c r="F16" s="74"/>
      <c r="G16" s="74"/>
      <c r="H16" s="74"/>
      <c r="I16" s="85">
        <f>SUM(I9:I14)</f>
        <v>13328.5112734375</v>
      </c>
      <c r="J16" s="76"/>
    </row>
    <row r="17" spans="1:10" ht="15.75" hidden="1" x14ac:dyDescent="0.25">
      <c r="A17" s="76"/>
      <c r="B17" s="76"/>
      <c r="C17" s="86" t="s">
        <v>78</v>
      </c>
      <c r="D17" s="76"/>
      <c r="E17" s="76"/>
      <c r="F17" s="76"/>
      <c r="G17" s="76"/>
      <c r="H17" s="76"/>
      <c r="I17" s="86" t="s">
        <v>79</v>
      </c>
      <c r="J17" s="76"/>
    </row>
    <row r="18" spans="1:10" hidden="1" x14ac:dyDescent="0.25"/>
    <row r="19" spans="1:10" hidden="1" x14ac:dyDescent="0.25"/>
    <row r="20" spans="1:10" hidden="1" x14ac:dyDescent="0.25"/>
    <row r="21" spans="1:10" hidden="1" x14ac:dyDescent="0.25"/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</sheetData>
  <sheetProtection algorithmName="SHA-512" hashValue="XLH5aHE3lJ8X3vzCIufmmdMWw81PIUyzLTR3Z/Bzg9bFgV7IAi+Kkpv/q+fILwUDVreMD70xhqXbJcOPYQFbcQ==" saltValue="f2GYGKtJND7uv7ut38u15Q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FGTS - entrada de dados</vt:lpstr>
      <vt:lpstr>simulador pelo Saldo</vt:lpstr>
      <vt:lpstr>Planilha1</vt:lpstr>
      <vt:lpstr>simulador pela 1ª parc</vt:lpstr>
      <vt:lpstr>quadro CCB</vt:lpstr>
      <vt:lpstr>Simulador pelo troco nao usar</vt:lpstr>
      <vt:lpstr>racional de + de 1 operação</vt:lpstr>
      <vt:lpstr>racional de + de 1 operaçã (2)</vt:lpstr>
      <vt:lpstr>'simulador pela 1ª parc'!Area_de_impressao</vt:lpstr>
      <vt:lpstr>'simulador pelo Saldo'!Area_de_impressao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oc0005</dc:creator>
  <cp:lastModifiedBy>Cartão de Crédito - Mariana Kisters Ventura Miranda</cp:lastModifiedBy>
  <cp:lastPrinted>2021-12-29T20:32:08Z</cp:lastPrinted>
  <dcterms:created xsi:type="dcterms:W3CDTF">2021-06-30T22:37:01Z</dcterms:created>
  <dcterms:modified xsi:type="dcterms:W3CDTF">2024-03-21T19:19:50Z</dcterms:modified>
</cp:coreProperties>
</file>