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inanceiraConsignado\FGTS SAQUE ANIVERSÁRIO\"/>
    </mc:Choice>
  </mc:AlternateContent>
  <xr:revisionPtr revIDLastSave="0" documentId="13_ncr:1_{2BD52B09-D4F2-4E5C-B0AC-55F3FE4476AB}" xr6:coauthVersionLast="47" xr6:coauthVersionMax="47" xr10:uidLastSave="{00000000-0000-0000-0000-000000000000}"/>
  <bookViews>
    <workbookView xWindow="-120" yWindow="-120" windowWidth="29040" windowHeight="15720" xr2:uid="{A023C0D3-08F8-4821-8744-ABBC7B933D2D}"/>
  </bookViews>
  <sheets>
    <sheet name="entrada de dados" sheetId="1" r:id="rId1"/>
    <sheet name="simulador" sheetId="2" state="hidden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3" i="1" l="1"/>
  <c r="K14" i="1"/>
  <c r="K11" i="1"/>
  <c r="B3" i="2"/>
  <c r="B8" i="2" s="1"/>
  <c r="B4" i="2"/>
  <c r="B2" i="2"/>
  <c r="C133" i="2"/>
  <c r="H133" i="2" s="1"/>
  <c r="C134" i="2" s="1"/>
  <c r="Q42" i="2"/>
  <c r="C23" i="2"/>
  <c r="B23" i="2"/>
  <c r="B1" i="2"/>
  <c r="G40" i="2" s="1"/>
  <c r="E37" i="1"/>
  <c r="E23" i="1" s="1"/>
  <c r="F21" i="1"/>
  <c r="E21" i="1"/>
  <c r="E20" i="1"/>
  <c r="E19" i="1"/>
  <c r="J18" i="1"/>
  <c r="E18" i="1"/>
  <c r="J17" i="1"/>
  <c r="E17" i="1"/>
  <c r="J16" i="1"/>
  <c r="E16" i="1"/>
  <c r="J15" i="1"/>
  <c r="E15" i="1"/>
  <c r="J14" i="1"/>
  <c r="E14" i="1"/>
  <c r="J13" i="1"/>
  <c r="E13" i="1"/>
  <c r="J12" i="1"/>
  <c r="E12" i="1"/>
  <c r="J11" i="1"/>
  <c r="E11" i="1"/>
  <c r="C8" i="1"/>
  <c r="E5" i="1"/>
  <c r="C8" i="2" l="1"/>
  <c r="F8" i="2" s="1"/>
  <c r="H134" i="2"/>
  <c r="C135" i="2" s="1"/>
  <c r="G134" i="2"/>
  <c r="F134" i="2"/>
  <c r="D134" i="2"/>
  <c r="E134" i="2" s="1"/>
  <c r="B9" i="2"/>
  <c r="D8" i="2"/>
  <c r="E8" i="2" s="1"/>
  <c r="D133" i="2"/>
  <c r="E133" i="2" s="1"/>
  <c r="C40" i="2"/>
  <c r="F133" i="2"/>
  <c r="A8" i="2"/>
  <c r="G133" i="2"/>
  <c r="F11" i="1" l="1"/>
  <c r="G8" i="2"/>
  <c r="G11" i="1" s="1"/>
  <c r="I8" i="2"/>
  <c r="J8" i="2" s="1"/>
  <c r="G41" i="2"/>
  <c r="C41" i="2"/>
  <c r="H135" i="2"/>
  <c r="C136" i="2" s="1"/>
  <c r="G135" i="2"/>
  <c r="F135" i="2"/>
  <c r="D135" i="2"/>
  <c r="E135" i="2" s="1"/>
  <c r="B10" i="2"/>
  <c r="A9" i="2"/>
  <c r="I9" i="2" l="1"/>
  <c r="F12" i="1"/>
  <c r="G42" i="2"/>
  <c r="C42" i="2"/>
  <c r="K8" i="2"/>
  <c r="L8" i="2"/>
  <c r="H41" i="2"/>
  <c r="D41" i="2"/>
  <c r="H8" i="2"/>
  <c r="C9" i="2" s="1"/>
  <c r="A10" i="2"/>
  <c r="B11" i="2"/>
  <c r="H136" i="2"/>
  <c r="C137" i="2" s="1"/>
  <c r="G136" i="2"/>
  <c r="F136" i="2"/>
  <c r="D136" i="2"/>
  <c r="E136" i="2" s="1"/>
  <c r="N8" i="2" l="1"/>
  <c r="I10" i="2"/>
  <c r="F13" i="1"/>
  <c r="B12" i="2"/>
  <c r="A11" i="2"/>
  <c r="F14" i="1" s="1"/>
  <c r="C43" i="2"/>
  <c r="G43" i="2"/>
  <c r="F9" i="2"/>
  <c r="D9" i="2"/>
  <c r="E9" i="2" s="1"/>
  <c r="M8" i="2"/>
  <c r="H137" i="2"/>
  <c r="C138" i="2" s="1"/>
  <c r="G137" i="2"/>
  <c r="F137" i="2"/>
  <c r="D137" i="2"/>
  <c r="E137" i="2" s="1"/>
  <c r="G9" i="2" l="1"/>
  <c r="H9" i="2" s="1"/>
  <c r="C10" i="2" s="1"/>
  <c r="D10" i="2" s="1"/>
  <c r="E10" i="2" s="1"/>
  <c r="C44" i="2"/>
  <c r="G44" i="2"/>
  <c r="H138" i="2"/>
  <c r="G138" i="2"/>
  <c r="F138" i="2"/>
  <c r="D138" i="2"/>
  <c r="E138" i="2" s="1"/>
  <c r="A12" i="2"/>
  <c r="F15" i="1" s="1"/>
  <c r="B13" i="2"/>
  <c r="I11" i="2"/>
  <c r="D42" i="2" l="1"/>
  <c r="H42" i="2"/>
  <c r="G12" i="1"/>
  <c r="J9" i="2"/>
  <c r="L9" i="2" s="1"/>
  <c r="F10" i="2"/>
  <c r="G10" i="2" s="1"/>
  <c r="G13" i="1" s="1"/>
  <c r="G45" i="2"/>
  <c r="C45" i="2"/>
  <c r="B14" i="2"/>
  <c r="A13" i="2"/>
  <c r="F16" i="1" s="1"/>
  <c r="I12" i="2"/>
  <c r="H43" i="2" l="1"/>
  <c r="K9" i="2"/>
  <c r="N9" i="2" s="1"/>
  <c r="H12" i="1" s="1"/>
  <c r="H10" i="2"/>
  <c r="C11" i="2" s="1"/>
  <c r="F11" i="2" s="1"/>
  <c r="J10" i="2"/>
  <c r="K10" i="2" s="1"/>
  <c r="D43" i="2"/>
  <c r="G46" i="2"/>
  <c r="C46" i="2"/>
  <c r="A14" i="2"/>
  <c r="B15" i="2"/>
  <c r="I13" i="2"/>
  <c r="D11" i="2" l="1"/>
  <c r="E11" i="2" s="1"/>
  <c r="G11" i="2" s="1"/>
  <c r="M9" i="2"/>
  <c r="L10" i="2"/>
  <c r="N10" i="2" s="1"/>
  <c r="H13" i="1" s="1"/>
  <c r="I14" i="2"/>
  <c r="F17" i="1"/>
  <c r="A15" i="2"/>
  <c r="F18" i="1" s="1"/>
  <c r="B16" i="2"/>
  <c r="G47" i="2"/>
  <c r="C47" i="2"/>
  <c r="H44" i="2" l="1"/>
  <c r="D44" i="2"/>
  <c r="J11" i="2"/>
  <c r="K11" i="2" s="1"/>
  <c r="M10" i="2"/>
  <c r="G14" i="1"/>
  <c r="H11" i="2"/>
  <c r="C12" i="2" s="1"/>
  <c r="A16" i="2"/>
  <c r="B17" i="2"/>
  <c r="C48" i="2"/>
  <c r="G48" i="2"/>
  <c r="I15" i="2"/>
  <c r="L11" i="2" l="1"/>
  <c r="M11" i="2" s="1"/>
  <c r="F12" i="2"/>
  <c r="D12" i="2"/>
  <c r="E12" i="2" s="1"/>
  <c r="I16" i="2"/>
  <c r="F19" i="1"/>
  <c r="A17" i="2"/>
  <c r="B18" i="2"/>
  <c r="Q39" i="2" s="1"/>
  <c r="C49" i="2"/>
  <c r="G49" i="2"/>
  <c r="N11" i="2" l="1"/>
  <c r="H14" i="1" s="1"/>
  <c r="G12" i="2"/>
  <c r="I17" i="2"/>
  <c r="F20" i="1"/>
  <c r="G50" i="2"/>
  <c r="C50" i="2"/>
  <c r="Q40" i="2"/>
  <c r="Q41" i="2"/>
  <c r="G15" i="1" l="1"/>
  <c r="D45" i="2"/>
  <c r="H45" i="2"/>
  <c r="J12" i="2"/>
  <c r="H12" i="2"/>
  <c r="C13" i="2" s="1"/>
  <c r="D13" i="2" l="1"/>
  <c r="E13" i="2" s="1"/>
  <c r="F13" i="2"/>
  <c r="L12" i="2"/>
  <c r="K12" i="2"/>
  <c r="M12" i="2" l="1"/>
  <c r="G13" i="2"/>
  <c r="G16" i="1" s="1"/>
  <c r="N12" i="2"/>
  <c r="H15" i="1" s="1"/>
  <c r="H13" i="2" l="1"/>
  <c r="C14" i="2" s="1"/>
  <c r="D46" i="2"/>
  <c r="J13" i="2"/>
  <c r="K13" i="2" s="1"/>
  <c r="H46" i="2"/>
  <c r="D14" i="2"/>
  <c r="E14" i="2" s="1"/>
  <c r="F14" i="2"/>
  <c r="G14" i="2" l="1"/>
  <c r="H14" i="2" s="1"/>
  <c r="C15" i="2" s="1"/>
  <c r="F15" i="2" s="1"/>
  <c r="L13" i="2"/>
  <c r="N13" i="2" s="1"/>
  <c r="H16" i="1" s="1"/>
  <c r="D15" i="2"/>
  <c r="E15" i="2" s="1"/>
  <c r="J14" i="2"/>
  <c r="G15" i="2" l="1"/>
  <c r="M13" i="2"/>
  <c r="G17" i="1"/>
  <c r="D47" i="2"/>
  <c r="H47" i="2"/>
  <c r="G18" i="1"/>
  <c r="D48" i="2"/>
  <c r="H48" i="2"/>
  <c r="J15" i="2"/>
  <c r="L14" i="2"/>
  <c r="K14" i="2"/>
  <c r="H15" i="2"/>
  <c r="C16" i="2" s="1"/>
  <c r="M14" i="2" l="1"/>
  <c r="L15" i="2"/>
  <c r="K15" i="2"/>
  <c r="F16" i="2"/>
  <c r="D16" i="2"/>
  <c r="E16" i="2" s="1"/>
  <c r="G16" i="2" s="1"/>
  <c r="N14" i="2"/>
  <c r="H17" i="1" s="1"/>
  <c r="G19" i="1" l="1"/>
  <c r="H49" i="2"/>
  <c r="J16" i="2"/>
  <c r="D49" i="2"/>
  <c r="H16" i="2"/>
  <c r="C17" i="2" s="1"/>
  <c r="N15" i="2"/>
  <c r="H18" i="1" s="1"/>
  <c r="M15" i="2"/>
  <c r="D17" i="2" l="1"/>
  <c r="E17" i="2" s="1"/>
  <c r="E18" i="2" s="1"/>
  <c r="F17" i="2"/>
  <c r="F18" i="2" s="1"/>
  <c r="L16" i="2"/>
  <c r="K16" i="2"/>
  <c r="M16" i="2" l="1"/>
  <c r="G17" i="2"/>
  <c r="H17" i="2" s="1"/>
  <c r="J17" i="2"/>
  <c r="H50" i="2"/>
  <c r="D50" i="2"/>
  <c r="G18" i="2"/>
  <c r="N16" i="2"/>
  <c r="H19" i="1" s="1"/>
  <c r="G20" i="1" l="1"/>
  <c r="G21" i="1"/>
  <c r="Q46" i="2"/>
  <c r="J18" i="2"/>
  <c r="K17" i="2"/>
  <c r="L17" i="2"/>
  <c r="L18" i="2" s="1"/>
  <c r="N17" i="2" l="1"/>
  <c r="H20" i="1" s="1"/>
  <c r="M17" i="2"/>
  <c r="K18" i="2"/>
  <c r="H40" i="2"/>
  <c r="G36" i="2" s="1"/>
  <c r="H36" i="2" s="1"/>
  <c r="B24" i="2" s="1"/>
  <c r="K12" i="1" s="1"/>
  <c r="Q35" i="2"/>
  <c r="Q43" i="2" l="1"/>
  <c r="N18" i="2"/>
  <c r="B27" i="2"/>
  <c r="K15" i="1" s="1"/>
  <c r="M18" i="2"/>
  <c r="Q36" i="2" l="1"/>
  <c r="J21" i="1" l="1"/>
  <c r="B28" i="2" l="1"/>
  <c r="K16" i="1" s="1"/>
  <c r="Q47" i="2"/>
  <c r="G23" i="2"/>
  <c r="H23" i="2" s="1"/>
  <c r="Q38" i="2" l="1"/>
  <c r="H11" i="1"/>
  <c r="H21" i="1" s="1"/>
  <c r="B51" i="1" s="1"/>
  <c r="D40" i="2"/>
  <c r="C36" i="2" s="1"/>
  <c r="D36" i="2" s="1"/>
  <c r="B30" i="2" s="1"/>
  <c r="K18" i="1" s="1"/>
  <c r="O9" i="2"/>
  <c r="O10" i="2" s="1"/>
  <c r="O11" i="2" s="1"/>
  <c r="O12" i="2" s="1"/>
  <c r="O13" i="2" s="1"/>
  <c r="O14" i="2" s="1"/>
  <c r="O15" i="2" s="1"/>
  <c r="O16" i="2" s="1"/>
  <c r="O17" i="2" s="1"/>
  <c r="B31" i="2"/>
  <c r="K19" i="1" s="1"/>
  <c r="Q15" i="2"/>
  <c r="R15" i="2" s="1"/>
  <c r="Q45" i="2" l="1"/>
  <c r="B29" i="2"/>
  <c r="K17" i="1" s="1"/>
  <c r="Q44" i="2" l="1"/>
</calcChain>
</file>

<file path=xl/sharedStrings.xml><?xml version="1.0" encoding="utf-8"?>
<sst xmlns="http://schemas.openxmlformats.org/spreadsheetml/2006/main" count="70" uniqueCount="62">
  <si>
    <t>Data da Simulação</t>
  </si>
  <si>
    <t>INCLUSÃO DE DADOS</t>
  </si>
  <si>
    <t>Qt. Parcelas</t>
  </si>
  <si>
    <t>Vencimentos</t>
  </si>
  <si>
    <t>Valor da Parcela
(saque aniversário)</t>
  </si>
  <si>
    <t>Valor Líquido Cliente</t>
  </si>
  <si>
    <t>TAXAS E CET</t>
  </si>
  <si>
    <t>Data Nascimento</t>
  </si>
  <si>
    <t>Saldo FGTS</t>
  </si>
  <si>
    <t>Qt. parcelas</t>
  </si>
  <si>
    <t>NÃO</t>
  </si>
  <si>
    <t>TAC</t>
  </si>
  <si>
    <t>SIMULAÇÃO COM TAXA EXCLUSIVA PARA COLABORADOR DAYCOVAL</t>
  </si>
  <si>
    <t>Data contratação</t>
  </si>
  <si>
    <t>data nascimento</t>
  </si>
  <si>
    <t>Aniversários
(vcto)</t>
  </si>
  <si>
    <t>Saldo de FGTS</t>
  </si>
  <si>
    <t>Alíquota de Saque aniversário</t>
  </si>
  <si>
    <t xml:space="preserve">R$ </t>
  </si>
  <si>
    <t>Parcela adicional</t>
  </si>
  <si>
    <t>total saque aniversário
(Garantia ou Parcela)</t>
  </si>
  <si>
    <t>saldo final FGTS</t>
  </si>
  <si>
    <t>prazo</t>
  </si>
  <si>
    <t>VP</t>
  </si>
  <si>
    <t>iof adicional</t>
  </si>
  <si>
    <t>iof diário</t>
  </si>
  <si>
    <t>IOF Total</t>
  </si>
  <si>
    <t>liquido ao cliente</t>
  </si>
  <si>
    <t>cliente</t>
  </si>
  <si>
    <t>comissão</t>
  </si>
  <si>
    <t>Prazo máximo</t>
  </si>
  <si>
    <t>Saldo mínimo</t>
  </si>
  <si>
    <t>TAXA a.m</t>
  </si>
  <si>
    <t>TAXA a.a</t>
  </si>
  <si>
    <t>IOF ADICIONAL</t>
  </si>
  <si>
    <t>IOF DIÁRIO</t>
  </si>
  <si>
    <t>IOF TOTAL</t>
  </si>
  <si>
    <t>JUROS</t>
  </si>
  <si>
    <t>CET a.m</t>
  </si>
  <si>
    <t>CET a.a</t>
  </si>
  <si>
    <t>COLABORADOR DAYCOVAL</t>
  </si>
  <si>
    <t>SIM</t>
  </si>
  <si>
    <t>CET</t>
  </si>
  <si>
    <t>a.m</t>
  </si>
  <si>
    <t>a.a</t>
  </si>
  <si>
    <t>TAXA</t>
  </si>
  <si>
    <t>a) Valor Principal do Crédito:</t>
  </si>
  <si>
    <t>b) IOF:</t>
  </si>
  <si>
    <t>c) Tarifa de Cadastro:</t>
  </si>
  <si>
    <t xml:space="preserve">d) Juros:                   </t>
  </si>
  <si>
    <t>e) Nº de Parcelas:</t>
  </si>
  <si>
    <t>f) Vencimento Inicial:</t>
  </si>
  <si>
    <t>g) Vencimento Final:</t>
  </si>
  <si>
    <t>i)Taxa de juros:</t>
  </si>
  <si>
    <t>j) Custo Efetivo Total:</t>
  </si>
  <si>
    <t>k) Valor total a pagar [principal e juros]:</t>
  </si>
  <si>
    <t>l) Valor líquido liberado:</t>
  </si>
  <si>
    <t>versão: 2025 03 10</t>
  </si>
  <si>
    <t>1º saque</t>
  </si>
  <si>
    <t>Ressaque</t>
  </si>
  <si>
    <t>1º saque ou Ressaque?</t>
  </si>
  <si>
    <t>* abatido do liquido da 1º parcela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</si>
</sst>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R$&quot;\ #,##0.00;\-&quot;R$&quot;\ #,##0.00"/>
    <numFmt numFmtId="8" formatCode="&quot;R$&quot;\ #,##0.00;[Red]\-&quot;R$&quot;\ #,##0.00"/>
    <numFmt numFmtId="43" formatCode="_-* #,##0.00_-;\-* #,##0.00_-;_-* &quot;-&quot;??_-;_-@_-"/>
    <numFmt numFmtId="164" formatCode="&quot;R$&quot;\ #,##0.00"/>
    <numFmt numFmtId="165" formatCode="0.00000%"/>
    <numFmt numFmtId="166" formatCode="0.0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horizontal="center" vertical="center" wrapText="1"/>
    </xf>
    <xf numFmtId="14" fontId="4" fillId="7" borderId="1" xfId="0" applyNumberFormat="1" applyFont="1" applyFill="1" applyBorder="1" applyAlignment="1" applyProtection="1">
      <alignment horizontal="center" vertical="center"/>
      <protection locked="0"/>
    </xf>
    <xf numFmtId="4" fontId="4" fillId="7" borderId="1" xfId="0" applyNumberFormat="1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0" fillId="0" borderId="2" xfId="0" applyBorder="1"/>
    <xf numFmtId="14" fontId="0" fillId="5" borderId="2" xfId="0" applyNumberFormat="1" applyFill="1" applyBorder="1"/>
    <xf numFmtId="14" fontId="0" fillId="0" borderId="0" xfId="0" applyNumberFormat="1"/>
    <xf numFmtId="43" fontId="0" fillId="0" borderId="0" xfId="1" applyFont="1" applyFill="1"/>
    <xf numFmtId="4" fontId="0" fillId="0" borderId="0" xfId="0" applyNumberFormat="1"/>
    <xf numFmtId="0" fontId="4" fillId="0" borderId="2" xfId="0" applyFont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9" borderId="2" xfId="1" applyFont="1" applyFill="1" applyBorder="1" applyAlignment="1">
      <alignment horizontal="center" vertical="center" wrapText="1"/>
    </xf>
    <xf numFmtId="43" fontId="4" fillId="5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3" fontId="4" fillId="0" borderId="0" xfId="1" applyFont="1" applyFill="1" applyAlignment="1">
      <alignment horizontal="center" vertical="center" wrapText="1"/>
    </xf>
    <xf numFmtId="14" fontId="0" fillId="0" borderId="2" xfId="0" applyNumberFormat="1" applyBorder="1"/>
    <xf numFmtId="43" fontId="0" fillId="0" borderId="2" xfId="1" applyFont="1" applyFill="1" applyBorder="1"/>
    <xf numFmtId="9" fontId="0" fillId="0" borderId="2" xfId="0" applyNumberFormat="1" applyBorder="1"/>
    <xf numFmtId="43" fontId="0" fillId="0" borderId="2" xfId="1" applyFont="1" applyBorder="1"/>
    <xf numFmtId="43" fontId="0" fillId="0" borderId="2" xfId="0" applyNumberFormat="1" applyBorder="1"/>
    <xf numFmtId="43" fontId="0" fillId="0" borderId="0" xfId="0" applyNumberFormat="1"/>
    <xf numFmtId="14" fontId="0" fillId="0" borderId="3" xfId="0" applyNumberFormat="1" applyBorder="1"/>
    <xf numFmtId="0" fontId="0" fillId="0" borderId="3" xfId="0" applyBorder="1"/>
    <xf numFmtId="43" fontId="0" fillId="0" borderId="3" xfId="1" applyFont="1" applyBorder="1"/>
    <xf numFmtId="9" fontId="0" fillId="0" borderId="3" xfId="0" applyNumberFormat="1" applyBorder="1"/>
    <xf numFmtId="43" fontId="0" fillId="0" borderId="3" xfId="0" applyNumberFormat="1" applyBorder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7" borderId="6" xfId="0" applyNumberFormat="1" applyFont="1" applyFill="1" applyBorder="1" applyAlignment="1">
      <alignment horizontal="center" vertical="center" wrapText="1"/>
    </xf>
    <xf numFmtId="164" fontId="4" fillId="7" borderId="7" xfId="0" applyNumberFormat="1" applyFont="1" applyFill="1" applyBorder="1" applyAlignment="1">
      <alignment horizontal="center" vertical="center" wrapText="1"/>
    </xf>
    <xf numFmtId="164" fontId="4" fillId="7" borderId="8" xfId="0" applyNumberFormat="1" applyFont="1" applyFill="1" applyBorder="1" applyAlignment="1">
      <alignment horizontal="center" vertical="center" wrapText="1"/>
    </xf>
    <xf numFmtId="164" fontId="4" fillId="7" borderId="9" xfId="0" applyNumberFormat="1" applyFont="1" applyFill="1" applyBorder="1" applyAlignment="1">
      <alignment horizontal="center" vertical="center" wrapText="1"/>
    </xf>
    <xf numFmtId="164" fontId="4" fillId="7" borderId="10" xfId="0" applyNumberFormat="1" applyFont="1" applyFill="1" applyBorder="1" applyAlignment="1">
      <alignment horizontal="center" vertical="center" wrapText="1"/>
    </xf>
    <xf numFmtId="164" fontId="4" fillId="7" borderId="11" xfId="0" applyNumberFormat="1" applyFont="1" applyFill="1" applyBorder="1" applyAlignment="1">
      <alignment horizontal="center" vertical="center" wrapText="1"/>
    </xf>
    <xf numFmtId="0" fontId="4" fillId="6" borderId="12" xfId="0" applyFont="1" applyFill="1" applyBorder="1"/>
    <xf numFmtId="43" fontId="4" fillId="6" borderId="12" xfId="1" applyFont="1" applyFill="1" applyBorder="1"/>
    <xf numFmtId="9" fontId="4" fillId="6" borderId="12" xfId="0" applyNumberFormat="1" applyFont="1" applyFill="1" applyBorder="1"/>
    <xf numFmtId="43" fontId="4" fillId="6" borderId="12" xfId="0" applyNumberFormat="1" applyFont="1" applyFill="1" applyBorder="1"/>
    <xf numFmtId="43" fontId="4" fillId="0" borderId="0" xfId="0" applyNumberFormat="1" applyFont="1"/>
    <xf numFmtId="0" fontId="4" fillId="0" borderId="0" xfId="0" applyFont="1"/>
    <xf numFmtId="43" fontId="4" fillId="0" borderId="0" xfId="1" applyFont="1" applyFill="1"/>
    <xf numFmtId="43" fontId="4" fillId="0" borderId="0" xfId="1" applyFont="1" applyFill="1" applyBorder="1"/>
    <xf numFmtId="9" fontId="4" fillId="0" borderId="0" xfId="0" applyNumberFormat="1" applyFont="1"/>
    <xf numFmtId="43" fontId="0" fillId="0" borderId="0" xfId="1" applyFont="1"/>
    <xf numFmtId="9" fontId="0" fillId="0" borderId="0" xfId="0" applyNumberFormat="1"/>
    <xf numFmtId="43" fontId="0" fillId="0" borderId="0" xfId="1" applyFont="1" applyBorder="1"/>
    <xf numFmtId="43" fontId="0" fillId="0" borderId="0" xfId="1" applyFont="1" applyFill="1" applyBorder="1"/>
    <xf numFmtId="43" fontId="7" fillId="0" borderId="0" xfId="0" applyNumberFormat="1" applyFont="1"/>
    <xf numFmtId="10" fontId="0" fillId="5" borderId="2" xfId="0" applyNumberFormat="1" applyFill="1" applyBorder="1"/>
    <xf numFmtId="10" fontId="0" fillId="0" borderId="12" xfId="0" applyNumberFormat="1" applyBorder="1"/>
    <xf numFmtId="10" fontId="0" fillId="0" borderId="2" xfId="2" applyNumberFormat="1" applyFont="1" applyBorder="1"/>
    <xf numFmtId="10" fontId="0" fillId="0" borderId="0" xfId="2" applyNumberFormat="1" applyFont="1"/>
    <xf numFmtId="10" fontId="0" fillId="0" borderId="2" xfId="0" applyNumberFormat="1" applyBorder="1"/>
    <xf numFmtId="165" fontId="0" fillId="0" borderId="2" xfId="0" applyNumberFormat="1" applyBorder="1"/>
    <xf numFmtId="14" fontId="0" fillId="0" borderId="0" xfId="0" applyNumberFormat="1" applyAlignment="1">
      <alignment horizontal="right"/>
    </xf>
    <xf numFmtId="9" fontId="0" fillId="0" borderId="0" xfId="2" applyFont="1"/>
    <xf numFmtId="0" fontId="0" fillId="0" borderId="13" xfId="0" applyBorder="1"/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3" fontId="0" fillId="0" borderId="2" xfId="1" applyFont="1" applyBorder="1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7" fontId="6" fillId="0" borderId="2" xfId="0" applyNumberFormat="1" applyFont="1" applyBorder="1" applyAlignment="1">
      <alignment vertical="center" wrapText="1"/>
    </xf>
    <xf numFmtId="43" fontId="0" fillId="0" borderId="0" xfId="1" applyFont="1" applyFill="1" applyAlignment="1">
      <alignment horizontal="center" vertical="center" wrapText="1"/>
    </xf>
    <xf numFmtId="166" fontId="0" fillId="0" borderId="2" xfId="2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8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7" fontId="6" fillId="0" borderId="2" xfId="0" applyNumberFormat="1" applyFont="1" applyBorder="1"/>
    <xf numFmtId="43" fontId="0" fillId="0" borderId="2" xfId="1" applyFont="1" applyBorder="1" applyAlignment="1">
      <alignment horizontal="center"/>
    </xf>
    <xf numFmtId="14" fontId="6" fillId="0" borderId="0" xfId="0" applyNumberFormat="1" applyFont="1"/>
    <xf numFmtId="0" fontId="6" fillId="0" borderId="2" xfId="0" applyFont="1" applyBorder="1"/>
    <xf numFmtId="14" fontId="0" fillId="0" borderId="2" xfId="1" applyNumberFormat="1" applyFont="1" applyBorder="1"/>
    <xf numFmtId="14" fontId="6" fillId="0" borderId="2" xfId="0" applyNumberFormat="1" applyFont="1" applyBorder="1" applyAlignment="1">
      <alignment vertical="center" wrapText="1"/>
    </xf>
    <xf numFmtId="14" fontId="8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0" fontId="6" fillId="0" borderId="2" xfId="0" applyNumberFormat="1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10" fontId="6" fillId="0" borderId="2" xfId="0" applyNumberFormat="1" applyFont="1" applyBorder="1"/>
    <xf numFmtId="0" fontId="0" fillId="2" borderId="0" xfId="0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14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0" xfId="0" applyFill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4" fillId="5" borderId="1" xfId="0" applyFont="1" applyFill="1" applyBorder="1" applyAlignment="1" applyProtection="1">
      <alignment horizontal="center" vertical="center" wrapText="1"/>
      <protection hidden="1"/>
    </xf>
    <xf numFmtId="0" fontId="4" fillId="6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4" fillId="6" borderId="1" xfId="0" applyFont="1" applyFill="1" applyBorder="1" applyAlignment="1" applyProtection="1">
      <alignment horizontal="left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14" fontId="0" fillId="0" borderId="1" xfId="0" applyNumberFormat="1" applyBorder="1" applyAlignment="1" applyProtection="1">
      <alignment horizontal="center" vertical="center"/>
      <protection hidden="1"/>
    </xf>
    <xf numFmtId="164" fontId="0" fillId="0" borderId="1" xfId="0" applyNumberForma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10" fontId="0" fillId="0" borderId="1" xfId="0" applyNumberFormat="1" applyBorder="1" applyAlignment="1" applyProtection="1">
      <alignment horizontal="right" vertical="center"/>
      <protection hidden="1"/>
    </xf>
    <xf numFmtId="164" fontId="0" fillId="2" borderId="0" xfId="0" applyNumberFormat="1" applyFill="1" applyAlignment="1" applyProtection="1">
      <alignment horizontal="center" vertical="center"/>
      <protection hidden="1"/>
    </xf>
    <xf numFmtId="164" fontId="0" fillId="0" borderId="1" xfId="0" applyNumberFormat="1" applyBorder="1" applyAlignment="1" applyProtection="1">
      <alignment horizontal="right" vertical="center"/>
      <protection hidden="1"/>
    </xf>
    <xf numFmtId="0" fontId="0" fillId="2" borderId="0" xfId="0" applyFill="1" applyAlignment="1" applyProtection="1">
      <alignment horizontal="center" vertical="center" wrapText="1"/>
      <protection hidden="1"/>
    </xf>
    <xf numFmtId="164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164" fontId="4" fillId="4" borderId="1" xfId="0" applyNumberFormat="1" applyFont="1" applyFill="1" applyBorder="1" applyAlignment="1" applyProtection="1">
      <alignment horizontal="center" vertical="center"/>
      <protection hidden="1"/>
    </xf>
    <xf numFmtId="43" fontId="5" fillId="2" borderId="0" xfId="0" applyNumberFormat="1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14" fontId="0" fillId="2" borderId="0" xfId="0" applyNumberFormat="1" applyFill="1" applyAlignment="1" applyProtection="1">
      <alignment horizontal="center" vertical="center"/>
      <protection hidden="1"/>
    </xf>
    <xf numFmtId="43" fontId="0" fillId="2" borderId="0" xfId="0" applyNumberFormat="1" applyFill="1" applyAlignment="1" applyProtection="1">
      <alignment horizontal="center" vertical="center"/>
      <protection hidden="1"/>
    </xf>
    <xf numFmtId="0" fontId="6" fillId="5" borderId="0" xfId="0" applyFont="1" applyFill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43" fontId="0" fillId="0" borderId="14" xfId="1" applyFont="1" applyBorder="1" applyAlignment="1" applyProtection="1">
      <alignment horizontal="center" vertical="center"/>
      <protection hidden="1"/>
    </xf>
    <xf numFmtId="43" fontId="0" fillId="0" borderId="15" xfId="1" applyFont="1" applyBorder="1" applyAlignment="1" applyProtection="1">
      <alignment horizontal="center" vertical="center"/>
      <protection hidden="1"/>
    </xf>
    <xf numFmtId="43" fontId="0" fillId="0" borderId="16" xfId="1" applyFont="1" applyBorder="1" applyAlignment="1" applyProtection="1">
      <alignment horizontal="center" vertical="center"/>
      <protection hidden="1"/>
    </xf>
    <xf numFmtId="43" fontId="0" fillId="5" borderId="2" xfId="1" applyFont="1" applyFill="1" applyBorder="1"/>
    <xf numFmtId="0" fontId="0" fillId="5" borderId="2" xfId="0" applyNumberFormat="1" applyFill="1" applyBorder="1"/>
    <xf numFmtId="0" fontId="0" fillId="0" borderId="0" xfId="0" applyBorder="1"/>
    <xf numFmtId="0" fontId="0" fillId="0" borderId="0" xfId="0" applyFill="1" applyBorder="1"/>
    <xf numFmtId="4" fontId="0" fillId="0" borderId="0" xfId="0" applyNumberFormat="1" applyFill="1" applyBorder="1"/>
    <xf numFmtId="166" fontId="0" fillId="0" borderId="1" xfId="0" applyNumberFormat="1" applyBorder="1" applyAlignment="1" applyProtection="1">
      <alignment horizontal="right" vertical="center"/>
      <protection hidden="1"/>
    </xf>
  </cellXfs>
  <cellStyles count="3">
    <cellStyle name="Normal" xfId="0" builtinId="0"/>
    <cellStyle name="Porcentagem" xfId="2" builtinId="5"/>
    <cellStyle name="Vírgula" xfId="1" builtinId="3"/>
  </cellStyles>
  <dxfs count="2">
    <dxf>
      <font>
        <b/>
        <i val="0"/>
        <color rgb="FFFFFF00"/>
      </font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342900</xdr:colOff>
      <xdr:row>23</xdr:row>
      <xdr:rowOff>180976</xdr:rowOff>
    </xdr:from>
    <xdr:to>
      <xdr:col>7</xdr:col>
      <xdr:colOff>285750</xdr:colOff>
      <xdr:row>25</xdr:row>
      <xdr:rowOff>185981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74FB34-880F-4371-BB20-31DE5742F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8625" y="4886326"/>
          <a:ext cx="2571750" cy="386005"/>
        </a:xfrm>
        <a:prstGeom prst="rect">
          <a:avLst/>
        </a:prstGeom>
      </xdr:spPr>
    </xdr:pic>
    <xdr:clientData/>
  </xdr:twoCellAnchor>
  <xdr:twoCellAnchor editAs="oneCell">
    <xdr:from>
      <xdr:col>1</xdr:col>
      <xdr:colOff>1533525</xdr:colOff>
      <xdr:row>1</xdr:row>
      <xdr:rowOff>57243</xdr:rowOff>
    </xdr:from>
    <xdr:to>
      <xdr:col>9</xdr:col>
      <xdr:colOff>809625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C026EE6-FF4E-4E68-B735-41282B9176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91"/>
        <a:stretch/>
      </xdr:blipFill>
      <xdr:spPr bwMode="auto">
        <a:xfrm>
          <a:off x="1828800" y="114393"/>
          <a:ext cx="7219950" cy="58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83185</xdr:colOff>
      <xdr:row>51</xdr:row>
      <xdr:rowOff>151765</xdr:rowOff>
    </xdr:from>
    <xdr:to>
      <xdr:col>24</xdr:col>
      <xdr:colOff>83185</xdr:colOff>
      <xdr:row>55</xdr:row>
      <xdr:rowOff>140970</xdr:rowOff>
    </xdr:to>
    <xdr:cxnSp macro="">
      <xdr:nvCxnSpPr>
        <xdr:cNvPr id="2" name="Conector reto 1">
          <a:extLst>
            <a:ext uri="{FF2B5EF4-FFF2-40B4-BE49-F238E27FC236}">
              <a16:creationId xmlns:a16="http://schemas.microsoft.com/office/drawing/2014/main" id="{6B74FEB5-64E6-44A0-A39B-3D8D8864D7DE}"/>
            </a:ext>
          </a:extLst>
        </xdr:cNvPr>
        <xdr:cNvCxnSpPr/>
      </xdr:nvCxnSpPr>
      <xdr:spPr>
        <a:xfrm>
          <a:off x="22324060" y="9867265"/>
          <a:ext cx="0" cy="75120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mulador%20de%20opera&#231;&#227;o%20FGTS%20-%202024%2009%2009%20-%20n&#227;o%20us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TS - entrada de dados"/>
      <sheetName val="simulador pelo Saldo - saque 1"/>
      <sheetName val="simulador pelo Saldo - saque 2"/>
      <sheetName val="simulador pelo Saldo - saque 3"/>
      <sheetName val="Planilha1"/>
      <sheetName val="simulador pela 1ª parc"/>
      <sheetName val="quadro CCB"/>
      <sheetName val="Simulador pelo troco nao usar"/>
      <sheetName val="racional de + de 1 operação"/>
      <sheetName val="racional de + de 1 operaçã (2)"/>
    </sheetNames>
    <sheetDataSet>
      <sheetData sheetId="0">
        <row r="14">
          <cell r="C14" t="str">
            <v>NÃO</v>
          </cell>
        </row>
      </sheetData>
      <sheetData sheetId="1">
        <row r="8">
          <cell r="B8">
            <v>1</v>
          </cell>
        </row>
        <row r="9">
          <cell r="B9">
            <v>2</v>
          </cell>
        </row>
        <row r="10">
          <cell r="B10">
            <v>3</v>
          </cell>
        </row>
        <row r="11">
          <cell r="B11">
            <v>4</v>
          </cell>
        </row>
        <row r="12">
          <cell r="B12">
            <v>5</v>
          </cell>
        </row>
        <row r="13">
          <cell r="B13">
            <v>6</v>
          </cell>
        </row>
        <row r="14">
          <cell r="B14">
            <v>7</v>
          </cell>
        </row>
        <row r="15">
          <cell r="B15">
            <v>8</v>
          </cell>
        </row>
        <row r="16">
          <cell r="B16">
            <v>9</v>
          </cell>
        </row>
        <row r="17">
          <cell r="B17">
            <v>10</v>
          </cell>
        </row>
        <row r="18">
          <cell r="B18">
            <v>10</v>
          </cell>
        </row>
        <row r="20">
          <cell r="B20">
            <v>10</v>
          </cell>
        </row>
        <row r="23">
          <cell r="A23" t="str">
            <v>TAXA a.m</v>
          </cell>
          <cell r="G23">
            <v>55624.612424617779</v>
          </cell>
        </row>
        <row r="24">
          <cell r="A24" t="str">
            <v>TAXA a.a</v>
          </cell>
        </row>
        <row r="25">
          <cell r="A25" t="str">
            <v>IOF ADICIONAL</v>
          </cell>
        </row>
        <row r="26">
          <cell r="A26" t="str">
            <v>IOF DIÁRIO</v>
          </cell>
        </row>
        <row r="27">
          <cell r="A27" t="str">
            <v>IOF TOTAL</v>
          </cell>
        </row>
        <row r="28">
          <cell r="A28" t="str">
            <v>JUROS</v>
          </cell>
        </row>
        <row r="29">
          <cell r="A29" t="str">
            <v>CET a.m</v>
          </cell>
        </row>
        <row r="30">
          <cell r="A30" t="str">
            <v>CET a.a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214C7-9258-4B3C-B4B3-5FC6DBECC903}">
  <dimension ref="A1:BT270"/>
  <sheetViews>
    <sheetView tabSelected="1" workbookViewId="0">
      <selection activeCell="O9" sqref="O9"/>
    </sheetView>
  </sheetViews>
  <sheetFormatPr defaultColWidth="20.42578125" defaultRowHeight="15" x14ac:dyDescent="0.25"/>
  <cols>
    <col min="1" max="1" width="4.42578125" style="90" customWidth="1"/>
    <col min="2" max="2" width="25.85546875" style="90" bestFit="1" customWidth="1"/>
    <col min="3" max="3" width="12.28515625" style="90" customWidth="1"/>
    <col min="4" max="4" width="6" style="90" customWidth="1"/>
    <col min="5" max="5" width="9.85546875" style="90" customWidth="1"/>
    <col min="6" max="8" width="19.7109375" style="90" customWidth="1"/>
    <col min="9" max="9" width="6" style="90" customWidth="1"/>
    <col min="10" max="10" width="14.42578125" style="117" bestFit="1" customWidth="1"/>
    <col min="11" max="11" width="12.85546875" style="92" bestFit="1" customWidth="1"/>
    <col min="12" max="12" width="4.42578125" style="90" customWidth="1"/>
    <col min="13" max="13" width="9.28515625" style="90" customWidth="1"/>
    <col min="14" max="14" width="17" style="90" customWidth="1"/>
    <col min="15" max="15" width="36.5703125" style="90" customWidth="1"/>
    <col min="16" max="16" width="11.7109375" style="90" customWidth="1"/>
    <col min="17" max="72" width="20.42578125" style="90"/>
    <col min="73" max="16384" width="20.42578125" style="92"/>
  </cols>
  <sheetData>
    <row r="1" spans="1:72" ht="4.5" customHeight="1" x14ac:dyDescent="0.25">
      <c r="J1" s="91"/>
      <c r="K1" s="90"/>
    </row>
    <row r="2" spans="1:72" ht="20.25" customHeight="1" x14ac:dyDescent="0.25">
      <c r="J2" s="91"/>
      <c r="K2" s="90"/>
    </row>
    <row r="3" spans="1:72" x14ac:dyDescent="0.25">
      <c r="J3" s="91"/>
      <c r="K3" s="90"/>
    </row>
    <row r="4" spans="1:72" x14ac:dyDescent="0.25">
      <c r="J4" s="91"/>
      <c r="K4" s="90"/>
    </row>
    <row r="5" spans="1:72" x14ac:dyDescent="0.25">
      <c r="E5" s="93" t="str">
        <f>IF(C14="SIM",E51,"")</f>
        <v/>
      </c>
      <c r="F5" s="93"/>
      <c r="G5" s="93"/>
      <c r="H5" s="93"/>
      <c r="J5" s="91"/>
      <c r="K5" s="90"/>
    </row>
    <row r="6" spans="1:72" x14ac:dyDescent="0.25">
      <c r="J6" s="91"/>
      <c r="K6" s="90"/>
    </row>
    <row r="7" spans="1:72" x14ac:dyDescent="0.25">
      <c r="J7" s="91"/>
      <c r="K7" s="90"/>
    </row>
    <row r="8" spans="1:72" ht="18.75" customHeight="1" x14ac:dyDescent="0.25">
      <c r="B8" s="94" t="s">
        <v>0</v>
      </c>
      <c r="C8" s="95">
        <f ca="1">TODAY()</f>
        <v>45726</v>
      </c>
      <c r="J8" s="91"/>
      <c r="K8" s="90"/>
    </row>
    <row r="9" spans="1:72" ht="6" customHeight="1" x14ac:dyDescent="0.25">
      <c r="B9" s="92"/>
      <c r="C9" s="92"/>
      <c r="J9" s="91"/>
      <c r="K9" s="90"/>
    </row>
    <row r="10" spans="1:72" s="100" customFormat="1" ht="30" x14ac:dyDescent="0.25">
      <c r="A10" s="96"/>
      <c r="B10" s="97" t="s">
        <v>1</v>
      </c>
      <c r="C10" s="97"/>
      <c r="D10" s="96"/>
      <c r="E10" s="94" t="s">
        <v>2</v>
      </c>
      <c r="F10" s="94" t="s">
        <v>3</v>
      </c>
      <c r="G10" s="94" t="s">
        <v>4</v>
      </c>
      <c r="H10" s="98" t="s">
        <v>5</v>
      </c>
      <c r="I10" s="96"/>
      <c r="J10" s="99" t="s">
        <v>6</v>
      </c>
      <c r="K10" s="99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</row>
    <row r="11" spans="1:72" x14ac:dyDescent="0.25">
      <c r="B11" s="101" t="s">
        <v>7</v>
      </c>
      <c r="C11" s="2">
        <v>36959</v>
      </c>
      <c r="E11" s="102">
        <f>IF('[1]simulador pelo Saldo - saque 1'!B8="","",'[1]simulador pelo Saldo - saque 1'!B8)</f>
        <v>1</v>
      </c>
      <c r="F11" s="103">
        <f ca="1">IF(simulador!A8="","",simulador!A8)</f>
        <v>46082</v>
      </c>
      <c r="G11" s="104">
        <f>IF(simulador!G8="","",simulador!G8)</f>
        <v>450</v>
      </c>
      <c r="H11" s="104">
        <f ca="1">IF(simulador!N8="","",simulador!N8)-simulador!H23</f>
        <v>252.54012727932337</v>
      </c>
      <c r="J11" s="105" t="str">
        <f>'[1]simulador pelo Saldo - saque 1'!A23</f>
        <v>TAXA a.m</v>
      </c>
      <c r="K11" s="106">
        <f>simulador!B23</f>
        <v>1.7899999999999999E-2</v>
      </c>
      <c r="N11" s="107"/>
    </row>
    <row r="12" spans="1:72" x14ac:dyDescent="0.25">
      <c r="B12" s="101" t="s">
        <v>8</v>
      </c>
      <c r="C12" s="3">
        <v>1000</v>
      </c>
      <c r="E12" s="102">
        <f>IF('[1]simulador pelo Saldo - saque 1'!B9="","",'[1]simulador pelo Saldo - saque 1'!B9)</f>
        <v>2</v>
      </c>
      <c r="F12" s="103">
        <f ca="1">IF(simulador!A9="","",simulador!A9)</f>
        <v>46447</v>
      </c>
      <c r="G12" s="104">
        <f>IF(simulador!G9="","",simulador!G9)</f>
        <v>270</v>
      </c>
      <c r="H12" s="104">
        <f ca="1">IF(simulador!N9="","",simulador!N9)</f>
        <v>170.3266788695345</v>
      </c>
      <c r="J12" s="105" t="str">
        <f>'[1]simulador pelo Saldo - saque 1'!A24</f>
        <v>TAXA a.a</v>
      </c>
      <c r="K12" s="106">
        <f ca="1">simulador!B24</f>
        <v>0.23730000000000001</v>
      </c>
    </row>
    <row r="13" spans="1:72" x14ac:dyDescent="0.25">
      <c r="B13" s="101" t="s">
        <v>9</v>
      </c>
      <c r="C13" s="4">
        <v>10</v>
      </c>
      <c r="E13" s="102">
        <f>IF('[1]simulador pelo Saldo - saque 1'!B10="","",'[1]simulador pelo Saldo - saque 1'!B10)</f>
        <v>3</v>
      </c>
      <c r="F13" s="103">
        <f ca="1">IF(simulador!A10="","",simulador!A10)</f>
        <v>46813</v>
      </c>
      <c r="G13" s="104">
        <f>IF(simulador!G10="","",simulador!G10)</f>
        <v>140</v>
      </c>
      <c r="H13" s="104">
        <f ca="1">IF(simulador!N10="","",simulador!N10)</f>
        <v>71.128648139303422</v>
      </c>
      <c r="J13" s="105" t="str">
        <f>'[1]simulador pelo Saldo - saque 1'!A25</f>
        <v>IOF ADICIONAL</v>
      </c>
      <c r="K13" s="106">
        <f>simulador!B25</f>
        <v>3.8E-3</v>
      </c>
    </row>
    <row r="14" spans="1:72" x14ac:dyDescent="0.25">
      <c r="B14" s="101" t="s">
        <v>60</v>
      </c>
      <c r="C14" s="4" t="s">
        <v>58</v>
      </c>
      <c r="E14" s="102">
        <f>IF('[1]simulador pelo Saldo - saque 1'!B11="","",'[1]simulador pelo Saldo - saque 1'!B11)</f>
        <v>4</v>
      </c>
      <c r="F14" s="103">
        <f ca="1">IF(simulador!A11="","",simulador!A11)</f>
        <v>47178</v>
      </c>
      <c r="G14" s="104">
        <f>IF(simulador!G11="","",simulador!G11)</f>
        <v>70</v>
      </c>
      <c r="H14" s="104">
        <f ca="1">IF(simulador!N11="","",simulador!N11)</f>
        <v>28.659525838138173</v>
      </c>
      <c r="J14" s="105" t="str">
        <f>'[1]simulador pelo Saldo - saque 1'!A26</f>
        <v>IOF DIÁRIO</v>
      </c>
      <c r="K14" s="126">
        <f>simulador!B26</f>
        <v>8.2000000000000001E-5</v>
      </c>
    </row>
    <row r="15" spans="1:72" x14ac:dyDescent="0.25">
      <c r="E15" s="102">
        <f>IF('[1]simulador pelo Saldo - saque 1'!B12="","",'[1]simulador pelo Saldo - saque 1'!B12)</f>
        <v>5</v>
      </c>
      <c r="F15" s="103">
        <f ca="1">IF(simulador!A12="","",simulador!A12)</f>
        <v>47543</v>
      </c>
      <c r="G15" s="104">
        <f>IF(simulador!G12="","",simulador!G12)</f>
        <v>35</v>
      </c>
      <c r="H15" s="104">
        <f ca="1">IF(simulador!N12="","",simulador!N12)</f>
        <v>11.54764560769218</v>
      </c>
      <c r="J15" s="105" t="str">
        <f>'[1]simulador pelo Saldo - saque 1'!A27</f>
        <v>IOF TOTAL</v>
      </c>
      <c r="K15" s="108">
        <f ca="1">simulador!B27</f>
        <v>22.129011059360522</v>
      </c>
    </row>
    <row r="16" spans="1:72" x14ac:dyDescent="0.25">
      <c r="B16" s="109"/>
      <c r="C16" s="109"/>
      <c r="E16" s="102">
        <f>IF('[1]simulador pelo Saldo - saque 1'!B13="","",'[1]simulador pelo Saldo - saque 1'!B13)</f>
        <v>6</v>
      </c>
      <c r="F16" s="103">
        <f ca="1">IF(simulador!A13="","",simulador!A13)</f>
        <v>47908</v>
      </c>
      <c r="G16" s="104">
        <f>IF(simulador!G13="","",simulador!G13)</f>
        <v>17.5</v>
      </c>
      <c r="H16" s="104">
        <f ca="1">IF(simulador!N13="","",simulador!N13)</f>
        <v>4.6528375882409678</v>
      </c>
      <c r="J16" s="105" t="str">
        <f>'[1]simulador pelo Saldo - saque 1'!A28</f>
        <v>JUROS</v>
      </c>
      <c r="K16" s="108">
        <f ca="1">simulador!B28</f>
        <v>334.86645726903407</v>
      </c>
    </row>
    <row r="17" spans="2:14" x14ac:dyDescent="0.25">
      <c r="B17" s="109"/>
      <c r="C17" s="109"/>
      <c r="E17" s="102">
        <f>IF('[1]simulador pelo Saldo - saque 1'!B14="","",'[1]simulador pelo Saldo - saque 1'!B14)</f>
        <v>7</v>
      </c>
      <c r="F17" s="103">
        <f ca="1">IF(simulador!A14="","",simulador!A14)</f>
        <v>48274</v>
      </c>
      <c r="G17" s="104">
        <f>IF(simulador!G14="","",simulador!G14)</f>
        <v>8.75</v>
      </c>
      <c r="H17" s="104">
        <f ca="1">IF(simulador!N14="","",simulador!N14)</f>
        <v>1.8736372083457213</v>
      </c>
      <c r="J17" s="105" t="str">
        <f>'[1]simulador pelo Saldo - saque 1'!A29</f>
        <v>CET a.m</v>
      </c>
      <c r="K17" s="106">
        <f ca="1">simulador!B29</f>
        <v>2.8140924468449624E-2</v>
      </c>
    </row>
    <row r="18" spans="2:14" x14ac:dyDescent="0.25">
      <c r="B18" s="109"/>
      <c r="C18" s="109"/>
      <c r="E18" s="102">
        <f>IF('[1]simulador pelo Saldo - saque 1'!B15="","",'[1]simulador pelo Saldo - saque 1'!B15)</f>
        <v>8</v>
      </c>
      <c r="F18" s="103">
        <f ca="1">IF(simulador!A15="","",simulador!A15)</f>
        <v>48639</v>
      </c>
      <c r="G18" s="104">
        <f>IF(simulador!G15="","",simulador!G15)</f>
        <v>4.375</v>
      </c>
      <c r="H18" s="104">
        <f ca="1">IF(simulador!N15="","",simulador!N15)</f>
        <v>0.75493567484533308</v>
      </c>
      <c r="J18" s="105" t="str">
        <f>'[1]simulador pelo Saldo - saque 1'!A30</f>
        <v>CET a.a</v>
      </c>
      <c r="K18" s="106">
        <f ca="1">simulador!B30</f>
        <v>0.4017</v>
      </c>
    </row>
    <row r="19" spans="2:14" x14ac:dyDescent="0.25">
      <c r="B19" s="109"/>
      <c r="C19" s="109"/>
      <c r="E19" s="102">
        <f>IF('[1]simulador pelo Saldo - saque 1'!B16="","",'[1]simulador pelo Saldo - saque 1'!B16)</f>
        <v>9</v>
      </c>
      <c r="F19" s="103">
        <f ca="1">IF(simulador!A16="","",simulador!A16)</f>
        <v>49004</v>
      </c>
      <c r="G19" s="104">
        <f>IF(simulador!G16="","",simulador!G16)</f>
        <v>2.1875</v>
      </c>
      <c r="H19" s="104">
        <f ca="1">IF(simulador!N16="","",simulador!N16)</f>
        <v>0.30418261903401311</v>
      </c>
      <c r="J19" s="105" t="s">
        <v>11</v>
      </c>
      <c r="K19" s="108">
        <f ca="1">simulador!B31</f>
        <v>100</v>
      </c>
      <c r="L19" s="118" t="s">
        <v>61</v>
      </c>
      <c r="M19" s="119"/>
      <c r="N19" s="120"/>
    </row>
    <row r="20" spans="2:14" x14ac:dyDescent="0.25">
      <c r="B20" s="109"/>
      <c r="C20" s="109"/>
      <c r="E20" s="102">
        <f>IF('[1]simulador pelo Saldo - saque 1'!B17="","",'[1]simulador pelo Saldo - saque 1'!B17)</f>
        <v>10</v>
      </c>
      <c r="F20" s="103">
        <f ca="1">IF(simulador!A17="","",simulador!A17)</f>
        <v>49369</v>
      </c>
      <c r="G20" s="104">
        <f>IF(simulador!G17="","",simulador!G17)</f>
        <v>1.09375</v>
      </c>
      <c r="H20" s="104">
        <f ca="1">IF(simulador!N17="","",simulador!N17)</f>
        <v>0.12256284714766993</v>
      </c>
      <c r="J20" s="91"/>
      <c r="K20" s="91"/>
    </row>
    <row r="21" spans="2:14" x14ac:dyDescent="0.25">
      <c r="B21" s="109"/>
      <c r="C21" s="109"/>
      <c r="E21" s="94">
        <f>IF('[1]simulador pelo Saldo - saque 1'!B18="","",'[1]simulador pelo Saldo - saque 1'!B18)</f>
        <v>10</v>
      </c>
      <c r="F21" s="94" t="str">
        <f>IF('[1]simulador pelo Saldo - saque 1'!A18="","",'[1]simulador pelo Saldo - saque 1'!A18)</f>
        <v/>
      </c>
      <c r="G21" s="110">
        <f>IF(simulador!G18="","",simulador!G18)</f>
        <v>998.90625</v>
      </c>
      <c r="H21" s="111">
        <f ca="1">SUM(H11:H20)</f>
        <v>541.91078167160538</v>
      </c>
      <c r="J21" s="112">
        <f ca="1">'[1]simulador pelo Saldo - saque 1'!G23</f>
        <v>55624.612424617779</v>
      </c>
      <c r="K21" s="91"/>
    </row>
    <row r="22" spans="2:14" x14ac:dyDescent="0.25">
      <c r="B22" s="113"/>
      <c r="C22" s="113"/>
      <c r="F22" s="114"/>
      <c r="G22" s="115"/>
      <c r="H22" s="115"/>
      <c r="J22" s="91"/>
      <c r="K22" s="91"/>
    </row>
    <row r="23" spans="2:14" ht="36" customHeight="1" x14ac:dyDescent="0.25">
      <c r="B23" s="109"/>
      <c r="C23" s="109"/>
      <c r="E23" s="109" t="str">
        <f>E37</f>
        <v>* Trata-se de uma simulação. O valor exato da contratação só será possível com a digitação da proposta no Portal de Vendas.</v>
      </c>
      <c r="F23" s="109"/>
      <c r="G23" s="109"/>
      <c r="H23" s="109"/>
      <c r="I23" s="91"/>
      <c r="J23" s="91"/>
      <c r="K23" s="91"/>
      <c r="L23" s="91"/>
    </row>
    <row r="24" spans="2:14" x14ac:dyDescent="0.25">
      <c r="B24" s="109"/>
      <c r="C24" s="109"/>
      <c r="I24" s="91"/>
      <c r="J24" s="91"/>
      <c r="K24" s="91"/>
      <c r="L24" s="91"/>
    </row>
    <row r="25" spans="2:14" x14ac:dyDescent="0.25">
      <c r="B25" s="109"/>
      <c r="C25" s="109"/>
      <c r="I25" s="91"/>
      <c r="J25" s="91"/>
      <c r="K25" s="91"/>
      <c r="L25" s="91"/>
    </row>
    <row r="26" spans="2:14" x14ac:dyDescent="0.25">
      <c r="B26" s="109"/>
      <c r="C26" s="109"/>
      <c r="I26" s="91"/>
      <c r="J26" s="91"/>
      <c r="K26" s="91" t="s">
        <v>57</v>
      </c>
      <c r="L26" s="91"/>
    </row>
    <row r="27" spans="2:14" x14ac:dyDescent="0.25">
      <c r="J27" s="90"/>
      <c r="K27" s="90"/>
    </row>
    <row r="28" spans="2:14" x14ac:dyDescent="0.25">
      <c r="J28" s="90"/>
      <c r="K28" s="90"/>
    </row>
    <row r="29" spans="2:14" x14ac:dyDescent="0.25">
      <c r="J29" s="90"/>
      <c r="K29" s="90"/>
    </row>
    <row r="30" spans="2:14" x14ac:dyDescent="0.25">
      <c r="J30" s="90"/>
      <c r="K30" s="90"/>
    </row>
    <row r="31" spans="2:14" x14ac:dyDescent="0.25">
      <c r="J31" s="90"/>
      <c r="K31" s="90"/>
    </row>
    <row r="32" spans="2:14" x14ac:dyDescent="0.25">
      <c r="J32" s="90"/>
      <c r="K32" s="90"/>
    </row>
    <row r="33" spans="5:11" x14ac:dyDescent="0.25">
      <c r="J33" s="90"/>
      <c r="K33" s="90"/>
    </row>
    <row r="34" spans="5:11" x14ac:dyDescent="0.25">
      <c r="J34" s="90"/>
      <c r="K34" s="90"/>
    </row>
    <row r="35" spans="5:11" x14ac:dyDescent="0.25">
      <c r="J35" s="90"/>
      <c r="K35" s="90"/>
    </row>
    <row r="36" spans="5:11" x14ac:dyDescent="0.25">
      <c r="J36" s="90"/>
      <c r="K36" s="90"/>
    </row>
    <row r="37" spans="5:11" x14ac:dyDescent="0.25">
      <c r="E37" s="109" t="str">
        <f>IF(C12&gt;0,"* Trata-se de uma simulação. O valor exato da contratação só será possível com a digitação da proposta no Portal de Vendas.","")</f>
        <v>* Trata-se de uma simulação. O valor exato da contratação só será possível com a digitação da proposta no Portal de Vendas.</v>
      </c>
      <c r="F37" s="109"/>
      <c r="G37" s="109"/>
      <c r="H37" s="109"/>
      <c r="J37" s="90"/>
      <c r="K37" s="90"/>
    </row>
    <row r="38" spans="5:11" x14ac:dyDescent="0.25">
      <c r="J38" s="90"/>
      <c r="K38" s="90"/>
    </row>
    <row r="39" spans="5:11" x14ac:dyDescent="0.25">
      <c r="J39" s="90"/>
      <c r="K39" s="90"/>
    </row>
    <row r="40" spans="5:11" x14ac:dyDescent="0.25">
      <c r="J40" s="90"/>
      <c r="K40" s="90"/>
    </row>
    <row r="41" spans="5:11" x14ac:dyDescent="0.25">
      <c r="J41" s="90"/>
      <c r="K41" s="90"/>
    </row>
    <row r="42" spans="5:11" x14ac:dyDescent="0.25">
      <c r="J42" s="90"/>
      <c r="K42" s="90"/>
    </row>
    <row r="43" spans="5:11" x14ac:dyDescent="0.25">
      <c r="J43" s="90"/>
      <c r="K43" s="90"/>
    </row>
    <row r="44" spans="5:11" x14ac:dyDescent="0.25">
      <c r="J44" s="90"/>
      <c r="K44" s="90"/>
    </row>
    <row r="45" spans="5:11" x14ac:dyDescent="0.25">
      <c r="J45" s="90"/>
      <c r="K45" s="90"/>
    </row>
    <row r="46" spans="5:11" x14ac:dyDescent="0.25">
      <c r="J46" s="90"/>
      <c r="K46" s="90"/>
    </row>
    <row r="47" spans="5:11" x14ac:dyDescent="0.25">
      <c r="J47" s="90"/>
      <c r="K47" s="90"/>
    </row>
    <row r="48" spans="5:11" x14ac:dyDescent="0.25">
      <c r="J48" s="90"/>
      <c r="K48" s="90"/>
    </row>
    <row r="49" spans="2:11" x14ac:dyDescent="0.25">
      <c r="J49" s="90"/>
      <c r="K49" s="90"/>
    </row>
    <row r="50" spans="2:11" x14ac:dyDescent="0.25">
      <c r="J50" s="90"/>
      <c r="K50" s="90"/>
    </row>
    <row r="51" spans="2:11" x14ac:dyDescent="0.25">
      <c r="B51" s="116" t="str">
        <f ca="1">IF(C11="","Preencher os 4 dados acima",IF(C12="","Preencher os 4 dados acima",IF(C13="","Preencher os 4 dados acima",IF(C14="","Preencher os 4 dados acima",IF(H21&lt;100,"Valor líquido ou prazo fora da política",IF(C13&gt;'[1]simulador pelo Saldo - saque 1'!B20,"Valor líquido ou prazo fora da política",""))))))</f>
        <v/>
      </c>
      <c r="E51" s="90" t="s">
        <v>12</v>
      </c>
      <c r="J51" s="90"/>
      <c r="K51" s="90"/>
    </row>
    <row r="52" spans="2:11" x14ac:dyDescent="0.25">
      <c r="J52" s="90"/>
      <c r="K52" s="90"/>
    </row>
    <row r="53" spans="2:11" x14ac:dyDescent="0.25">
      <c r="J53" s="90"/>
      <c r="K53" s="90"/>
    </row>
    <row r="54" spans="2:11" x14ac:dyDescent="0.25">
      <c r="J54" s="90"/>
      <c r="K54" s="90"/>
    </row>
    <row r="55" spans="2:11" x14ac:dyDescent="0.25">
      <c r="J55" s="90"/>
      <c r="K55" s="90"/>
    </row>
    <row r="56" spans="2:11" x14ac:dyDescent="0.25">
      <c r="J56" s="90"/>
      <c r="K56" s="90"/>
    </row>
    <row r="57" spans="2:11" x14ac:dyDescent="0.25">
      <c r="J57" s="90"/>
      <c r="K57" s="90"/>
    </row>
    <row r="58" spans="2:11" x14ac:dyDescent="0.25">
      <c r="J58" s="90"/>
      <c r="K58" s="90"/>
    </row>
    <row r="59" spans="2:11" x14ac:dyDescent="0.25">
      <c r="C59" s="90" t="s">
        <v>58</v>
      </c>
      <c r="J59" s="90"/>
      <c r="K59" s="90"/>
    </row>
    <row r="60" spans="2:11" x14ac:dyDescent="0.25">
      <c r="C60" s="90" t="s">
        <v>59</v>
      </c>
      <c r="J60" s="90"/>
      <c r="K60" s="90"/>
    </row>
    <row r="61" spans="2:11" x14ac:dyDescent="0.25">
      <c r="J61" s="90"/>
      <c r="K61" s="90"/>
    </row>
    <row r="62" spans="2:11" x14ac:dyDescent="0.25">
      <c r="J62" s="90"/>
      <c r="K62" s="90"/>
    </row>
    <row r="63" spans="2:11" x14ac:dyDescent="0.25">
      <c r="J63" s="90"/>
      <c r="K63" s="90"/>
    </row>
    <row r="64" spans="2:11" x14ac:dyDescent="0.25">
      <c r="J64" s="90"/>
      <c r="K64" s="90"/>
    </row>
    <row r="65" spans="10:11" x14ac:dyDescent="0.25">
      <c r="J65" s="90"/>
      <c r="K65" s="90"/>
    </row>
    <row r="66" spans="10:11" x14ac:dyDescent="0.25">
      <c r="J66" s="90"/>
      <c r="K66" s="90"/>
    </row>
    <row r="67" spans="10:11" x14ac:dyDescent="0.25">
      <c r="J67" s="90"/>
      <c r="K67" s="90"/>
    </row>
    <row r="68" spans="10:11" x14ac:dyDescent="0.25">
      <c r="J68" s="90"/>
      <c r="K68" s="90"/>
    </row>
    <row r="69" spans="10:11" x14ac:dyDescent="0.25">
      <c r="J69" s="90"/>
      <c r="K69" s="90"/>
    </row>
    <row r="70" spans="10:11" x14ac:dyDescent="0.25">
      <c r="J70" s="90"/>
      <c r="K70" s="90"/>
    </row>
    <row r="71" spans="10:11" x14ac:dyDescent="0.25">
      <c r="J71" s="90"/>
      <c r="K71" s="90"/>
    </row>
    <row r="72" spans="10:11" x14ac:dyDescent="0.25">
      <c r="J72" s="90"/>
      <c r="K72" s="90"/>
    </row>
    <row r="73" spans="10:11" x14ac:dyDescent="0.25">
      <c r="J73" s="90"/>
      <c r="K73" s="90"/>
    </row>
    <row r="74" spans="10:11" x14ac:dyDescent="0.25">
      <c r="J74" s="90"/>
      <c r="K74" s="90"/>
    </row>
    <row r="75" spans="10:11" x14ac:dyDescent="0.25">
      <c r="J75" s="90"/>
      <c r="K75" s="90"/>
    </row>
    <row r="76" spans="10:11" x14ac:dyDescent="0.25">
      <c r="J76" s="90"/>
      <c r="K76" s="90"/>
    </row>
    <row r="77" spans="10:11" x14ac:dyDescent="0.25">
      <c r="J77" s="90"/>
      <c r="K77" s="90"/>
    </row>
    <row r="78" spans="10:11" x14ac:dyDescent="0.25">
      <c r="J78" s="90"/>
      <c r="K78" s="90"/>
    </row>
    <row r="79" spans="10:11" x14ac:dyDescent="0.25">
      <c r="J79" s="90"/>
      <c r="K79" s="90"/>
    </row>
    <row r="80" spans="10:11" x14ac:dyDescent="0.25">
      <c r="J80" s="90"/>
      <c r="K80" s="90"/>
    </row>
    <row r="81" spans="10:11" x14ac:dyDescent="0.25">
      <c r="J81" s="90"/>
      <c r="K81" s="90"/>
    </row>
    <row r="82" spans="10:11" x14ac:dyDescent="0.25">
      <c r="J82" s="90"/>
      <c r="K82" s="90"/>
    </row>
    <row r="83" spans="10:11" x14ac:dyDescent="0.25">
      <c r="J83" s="90"/>
      <c r="K83" s="90"/>
    </row>
    <row r="84" spans="10:11" x14ac:dyDescent="0.25">
      <c r="J84" s="90"/>
      <c r="K84" s="90"/>
    </row>
    <row r="85" spans="10:11" x14ac:dyDescent="0.25">
      <c r="J85" s="90"/>
      <c r="K85" s="90"/>
    </row>
    <row r="86" spans="10:11" x14ac:dyDescent="0.25">
      <c r="J86" s="90"/>
      <c r="K86" s="90"/>
    </row>
    <row r="87" spans="10:11" x14ac:dyDescent="0.25">
      <c r="J87" s="90"/>
      <c r="K87" s="90"/>
    </row>
    <row r="88" spans="10:11" x14ac:dyDescent="0.25">
      <c r="J88" s="90"/>
      <c r="K88" s="90"/>
    </row>
    <row r="89" spans="10:11" x14ac:dyDescent="0.25">
      <c r="J89" s="90"/>
      <c r="K89" s="90"/>
    </row>
    <row r="90" spans="10:11" x14ac:dyDescent="0.25">
      <c r="J90" s="90"/>
      <c r="K90" s="90"/>
    </row>
    <row r="91" spans="10:11" x14ac:dyDescent="0.25">
      <c r="J91" s="90"/>
      <c r="K91" s="90"/>
    </row>
    <row r="92" spans="10:11" x14ac:dyDescent="0.25">
      <c r="J92" s="90"/>
      <c r="K92" s="90"/>
    </row>
    <row r="93" spans="10:11" x14ac:dyDescent="0.25">
      <c r="J93" s="90"/>
      <c r="K93" s="90"/>
    </row>
    <row r="94" spans="10:11" x14ac:dyDescent="0.25">
      <c r="J94" s="90"/>
      <c r="K94" s="90"/>
    </row>
    <row r="95" spans="10:11" x14ac:dyDescent="0.25">
      <c r="J95" s="90"/>
      <c r="K95" s="90"/>
    </row>
    <row r="96" spans="10:11" x14ac:dyDescent="0.25">
      <c r="J96" s="90"/>
      <c r="K96" s="90"/>
    </row>
    <row r="97" spans="10:11" x14ac:dyDescent="0.25">
      <c r="J97" s="90"/>
      <c r="K97" s="90"/>
    </row>
    <row r="98" spans="10:11" x14ac:dyDescent="0.25">
      <c r="J98" s="90"/>
      <c r="K98" s="90"/>
    </row>
    <row r="99" spans="10:11" x14ac:dyDescent="0.25">
      <c r="J99" s="90"/>
      <c r="K99" s="90"/>
    </row>
    <row r="100" spans="10:11" x14ac:dyDescent="0.25">
      <c r="J100" s="90"/>
      <c r="K100" s="90"/>
    </row>
    <row r="101" spans="10:11" x14ac:dyDescent="0.25">
      <c r="J101" s="90"/>
      <c r="K101" s="90"/>
    </row>
    <row r="102" spans="10:11" x14ac:dyDescent="0.25">
      <c r="J102" s="90"/>
      <c r="K102" s="90"/>
    </row>
    <row r="103" spans="10:11" x14ac:dyDescent="0.25">
      <c r="J103" s="90"/>
      <c r="K103" s="90"/>
    </row>
    <row r="104" spans="10:11" x14ac:dyDescent="0.25">
      <c r="J104" s="90"/>
      <c r="K104" s="90"/>
    </row>
    <row r="105" spans="10:11" x14ac:dyDescent="0.25">
      <c r="J105" s="90"/>
      <c r="K105" s="90"/>
    </row>
    <row r="106" spans="10:11" x14ac:dyDescent="0.25">
      <c r="J106" s="90"/>
      <c r="K106" s="90"/>
    </row>
    <row r="107" spans="10:11" x14ac:dyDescent="0.25">
      <c r="J107" s="90"/>
      <c r="K107" s="90"/>
    </row>
    <row r="108" spans="10:11" x14ac:dyDescent="0.25">
      <c r="J108" s="90"/>
      <c r="K108" s="90"/>
    </row>
    <row r="109" spans="10:11" x14ac:dyDescent="0.25">
      <c r="J109" s="90"/>
      <c r="K109" s="90"/>
    </row>
    <row r="110" spans="10:11" x14ac:dyDescent="0.25">
      <c r="J110" s="90"/>
      <c r="K110" s="90"/>
    </row>
    <row r="111" spans="10:11" x14ac:dyDescent="0.25">
      <c r="J111" s="90"/>
      <c r="K111" s="90"/>
    </row>
    <row r="112" spans="10:11" x14ac:dyDescent="0.25">
      <c r="J112" s="90"/>
      <c r="K112" s="90"/>
    </row>
    <row r="113" spans="10:11" x14ac:dyDescent="0.25">
      <c r="J113" s="90"/>
      <c r="K113" s="90"/>
    </row>
    <row r="114" spans="10:11" x14ac:dyDescent="0.25">
      <c r="J114" s="90"/>
      <c r="K114" s="90"/>
    </row>
    <row r="115" spans="10:11" x14ac:dyDescent="0.25">
      <c r="J115" s="90"/>
      <c r="K115" s="90"/>
    </row>
    <row r="116" spans="10:11" x14ac:dyDescent="0.25">
      <c r="J116" s="90"/>
      <c r="K116" s="90"/>
    </row>
    <row r="117" spans="10:11" x14ac:dyDescent="0.25">
      <c r="J117" s="90"/>
      <c r="K117" s="90"/>
    </row>
    <row r="118" spans="10:11" x14ac:dyDescent="0.25">
      <c r="J118" s="90"/>
      <c r="K118" s="90"/>
    </row>
    <row r="119" spans="10:11" x14ac:dyDescent="0.25">
      <c r="J119" s="90"/>
      <c r="K119" s="90"/>
    </row>
    <row r="120" spans="10:11" x14ac:dyDescent="0.25">
      <c r="J120" s="90"/>
      <c r="K120" s="90"/>
    </row>
    <row r="121" spans="10:11" x14ac:dyDescent="0.25">
      <c r="J121" s="90"/>
      <c r="K121" s="90"/>
    </row>
    <row r="122" spans="10:11" x14ac:dyDescent="0.25">
      <c r="J122" s="90"/>
      <c r="K122" s="90"/>
    </row>
    <row r="123" spans="10:11" x14ac:dyDescent="0.25">
      <c r="J123" s="90"/>
      <c r="K123" s="90"/>
    </row>
    <row r="124" spans="10:11" x14ac:dyDescent="0.25">
      <c r="J124" s="90"/>
      <c r="K124" s="90"/>
    </row>
    <row r="125" spans="10:11" x14ac:dyDescent="0.25">
      <c r="J125" s="90"/>
      <c r="K125" s="90"/>
    </row>
    <row r="126" spans="10:11" x14ac:dyDescent="0.25">
      <c r="J126" s="90"/>
      <c r="K126" s="90"/>
    </row>
    <row r="127" spans="10:11" x14ac:dyDescent="0.25">
      <c r="J127" s="90"/>
      <c r="K127" s="90"/>
    </row>
    <row r="128" spans="10:11" x14ac:dyDescent="0.25">
      <c r="J128" s="90"/>
      <c r="K128" s="90"/>
    </row>
    <row r="129" spans="10:11" x14ac:dyDescent="0.25">
      <c r="J129" s="90"/>
      <c r="K129" s="90"/>
    </row>
    <row r="130" spans="10:11" x14ac:dyDescent="0.25">
      <c r="J130" s="90"/>
      <c r="K130" s="90"/>
    </row>
    <row r="131" spans="10:11" x14ac:dyDescent="0.25">
      <c r="J131" s="90"/>
      <c r="K131" s="90"/>
    </row>
    <row r="132" spans="10:11" x14ac:dyDescent="0.25">
      <c r="J132" s="90"/>
      <c r="K132" s="90"/>
    </row>
    <row r="133" spans="10:11" x14ac:dyDescent="0.25">
      <c r="J133" s="90"/>
      <c r="K133" s="90"/>
    </row>
    <row r="134" spans="10:11" x14ac:dyDescent="0.25">
      <c r="J134" s="90"/>
      <c r="K134" s="90"/>
    </row>
    <row r="135" spans="10:11" x14ac:dyDescent="0.25">
      <c r="J135" s="90"/>
      <c r="K135" s="90"/>
    </row>
    <row r="136" spans="10:11" x14ac:dyDescent="0.25">
      <c r="J136" s="90"/>
      <c r="K136" s="90"/>
    </row>
    <row r="137" spans="10:11" x14ac:dyDescent="0.25">
      <c r="J137" s="90"/>
      <c r="K137" s="90"/>
    </row>
    <row r="138" spans="10:11" x14ac:dyDescent="0.25">
      <c r="J138" s="90"/>
      <c r="K138" s="90"/>
    </row>
    <row r="139" spans="10:11" x14ac:dyDescent="0.25">
      <c r="J139" s="90"/>
      <c r="K139" s="90"/>
    </row>
    <row r="140" spans="10:11" x14ac:dyDescent="0.25">
      <c r="J140" s="90"/>
      <c r="K140" s="90"/>
    </row>
    <row r="141" spans="10:11" x14ac:dyDescent="0.25">
      <c r="J141" s="90"/>
      <c r="K141" s="90"/>
    </row>
    <row r="142" spans="10:11" x14ac:dyDescent="0.25">
      <c r="J142" s="90"/>
      <c r="K142" s="90"/>
    </row>
    <row r="143" spans="10:11" x14ac:dyDescent="0.25">
      <c r="J143" s="90"/>
      <c r="K143" s="90"/>
    </row>
    <row r="144" spans="10:11" x14ac:dyDescent="0.25">
      <c r="J144" s="90"/>
      <c r="K144" s="90"/>
    </row>
    <row r="145" spans="10:11" x14ac:dyDescent="0.25">
      <c r="J145" s="90"/>
      <c r="K145" s="90"/>
    </row>
    <row r="146" spans="10:11" x14ac:dyDescent="0.25">
      <c r="J146" s="90"/>
      <c r="K146" s="90"/>
    </row>
    <row r="147" spans="10:11" x14ac:dyDescent="0.25">
      <c r="J147" s="90"/>
      <c r="K147" s="90"/>
    </row>
    <row r="148" spans="10:11" x14ac:dyDescent="0.25">
      <c r="J148" s="90"/>
      <c r="K148" s="90"/>
    </row>
    <row r="149" spans="10:11" x14ac:dyDescent="0.25">
      <c r="J149" s="90"/>
      <c r="K149" s="90"/>
    </row>
    <row r="150" spans="10:11" x14ac:dyDescent="0.25">
      <c r="J150" s="90"/>
      <c r="K150" s="90"/>
    </row>
    <row r="151" spans="10:11" x14ac:dyDescent="0.25">
      <c r="J151" s="90"/>
      <c r="K151" s="90"/>
    </row>
    <row r="152" spans="10:11" x14ac:dyDescent="0.25">
      <c r="J152" s="90"/>
      <c r="K152" s="90"/>
    </row>
    <row r="153" spans="10:11" x14ac:dyDescent="0.25">
      <c r="J153" s="90"/>
      <c r="K153" s="90"/>
    </row>
    <row r="154" spans="10:11" x14ac:dyDescent="0.25">
      <c r="J154" s="90"/>
      <c r="K154" s="90"/>
    </row>
    <row r="155" spans="10:11" x14ac:dyDescent="0.25">
      <c r="J155" s="90"/>
      <c r="K155" s="90"/>
    </row>
    <row r="156" spans="10:11" x14ac:dyDescent="0.25">
      <c r="J156" s="90"/>
      <c r="K156" s="90"/>
    </row>
    <row r="157" spans="10:11" x14ac:dyDescent="0.25">
      <c r="J157" s="90"/>
      <c r="K157" s="90"/>
    </row>
    <row r="158" spans="10:11" x14ac:dyDescent="0.25">
      <c r="J158" s="90"/>
      <c r="K158" s="90"/>
    </row>
    <row r="159" spans="10:11" x14ac:dyDescent="0.25">
      <c r="J159" s="90"/>
      <c r="K159" s="90"/>
    </row>
    <row r="160" spans="10:11" x14ac:dyDescent="0.25">
      <c r="J160" s="90"/>
      <c r="K160" s="90"/>
    </row>
    <row r="161" spans="10:11" x14ac:dyDescent="0.25">
      <c r="J161" s="90"/>
      <c r="K161" s="90"/>
    </row>
    <row r="162" spans="10:11" x14ac:dyDescent="0.25">
      <c r="J162" s="90"/>
      <c r="K162" s="90"/>
    </row>
    <row r="163" spans="10:11" x14ac:dyDescent="0.25">
      <c r="J163" s="90"/>
      <c r="K163" s="90"/>
    </row>
    <row r="164" spans="10:11" x14ac:dyDescent="0.25">
      <c r="J164" s="90"/>
      <c r="K164" s="90"/>
    </row>
    <row r="165" spans="10:11" x14ac:dyDescent="0.25">
      <c r="J165" s="90"/>
      <c r="K165" s="90"/>
    </row>
    <row r="166" spans="10:11" x14ac:dyDescent="0.25">
      <c r="J166" s="90"/>
      <c r="K166" s="90"/>
    </row>
    <row r="167" spans="10:11" x14ac:dyDescent="0.25">
      <c r="J167" s="90"/>
      <c r="K167" s="90"/>
    </row>
    <row r="168" spans="10:11" x14ac:dyDescent="0.25">
      <c r="J168" s="90"/>
      <c r="K168" s="90"/>
    </row>
    <row r="169" spans="10:11" x14ac:dyDescent="0.25">
      <c r="J169" s="90"/>
      <c r="K169" s="90"/>
    </row>
    <row r="170" spans="10:11" x14ac:dyDescent="0.25">
      <c r="J170" s="90"/>
      <c r="K170" s="90"/>
    </row>
    <row r="171" spans="10:11" x14ac:dyDescent="0.25">
      <c r="J171" s="90"/>
      <c r="K171" s="90"/>
    </row>
    <row r="172" spans="10:11" x14ac:dyDescent="0.25">
      <c r="J172" s="90"/>
      <c r="K172" s="90"/>
    </row>
    <row r="173" spans="10:11" x14ac:dyDescent="0.25">
      <c r="J173" s="90"/>
      <c r="K173" s="90"/>
    </row>
    <row r="174" spans="10:11" x14ac:dyDescent="0.25">
      <c r="J174" s="90"/>
      <c r="K174" s="90"/>
    </row>
    <row r="175" spans="10:11" x14ac:dyDescent="0.25">
      <c r="J175" s="90"/>
      <c r="K175" s="90"/>
    </row>
    <row r="176" spans="10:11" x14ac:dyDescent="0.25">
      <c r="J176" s="90"/>
      <c r="K176" s="90"/>
    </row>
    <row r="177" spans="10:11" x14ac:dyDescent="0.25">
      <c r="J177" s="90"/>
      <c r="K177" s="90"/>
    </row>
    <row r="178" spans="10:11" x14ac:dyDescent="0.25">
      <c r="J178" s="90"/>
      <c r="K178" s="90"/>
    </row>
    <row r="179" spans="10:11" x14ac:dyDescent="0.25">
      <c r="J179" s="90"/>
      <c r="K179" s="90"/>
    </row>
    <row r="180" spans="10:11" x14ac:dyDescent="0.25">
      <c r="J180" s="90"/>
      <c r="K180" s="90"/>
    </row>
    <row r="181" spans="10:11" x14ac:dyDescent="0.25">
      <c r="J181" s="90"/>
      <c r="K181" s="90"/>
    </row>
    <row r="182" spans="10:11" x14ac:dyDescent="0.25">
      <c r="J182" s="90"/>
      <c r="K182" s="90"/>
    </row>
    <row r="183" spans="10:11" x14ac:dyDescent="0.25">
      <c r="J183" s="90"/>
      <c r="K183" s="90"/>
    </row>
    <row r="184" spans="10:11" x14ac:dyDescent="0.25">
      <c r="J184" s="90"/>
      <c r="K184" s="90"/>
    </row>
    <row r="185" spans="10:11" x14ac:dyDescent="0.25">
      <c r="J185" s="90"/>
      <c r="K185" s="90"/>
    </row>
    <row r="186" spans="10:11" x14ac:dyDescent="0.25">
      <c r="J186" s="90"/>
      <c r="K186" s="90"/>
    </row>
    <row r="187" spans="10:11" x14ac:dyDescent="0.25">
      <c r="J187" s="90"/>
      <c r="K187" s="90"/>
    </row>
    <row r="188" spans="10:11" x14ac:dyDescent="0.25">
      <c r="J188" s="90"/>
      <c r="K188" s="90"/>
    </row>
    <row r="189" spans="10:11" x14ac:dyDescent="0.25">
      <c r="J189" s="90"/>
      <c r="K189" s="90"/>
    </row>
    <row r="190" spans="10:11" x14ac:dyDescent="0.25">
      <c r="J190" s="90"/>
      <c r="K190" s="90"/>
    </row>
    <row r="191" spans="10:11" x14ac:dyDescent="0.25">
      <c r="J191" s="90"/>
      <c r="K191" s="90"/>
    </row>
    <row r="192" spans="10:11" x14ac:dyDescent="0.25">
      <c r="J192" s="90"/>
      <c r="K192" s="90"/>
    </row>
    <row r="193" spans="10:11" x14ac:dyDescent="0.25">
      <c r="J193" s="90"/>
      <c r="K193" s="90"/>
    </row>
    <row r="194" spans="10:11" x14ac:dyDescent="0.25">
      <c r="J194" s="90"/>
      <c r="K194" s="90"/>
    </row>
    <row r="195" spans="10:11" x14ac:dyDescent="0.25">
      <c r="J195" s="90"/>
      <c r="K195" s="90"/>
    </row>
    <row r="196" spans="10:11" x14ac:dyDescent="0.25">
      <c r="J196" s="90"/>
      <c r="K196" s="90"/>
    </row>
    <row r="197" spans="10:11" x14ac:dyDescent="0.25">
      <c r="J197" s="90"/>
      <c r="K197" s="90"/>
    </row>
    <row r="198" spans="10:11" x14ac:dyDescent="0.25">
      <c r="J198" s="90"/>
      <c r="K198" s="90"/>
    </row>
    <row r="199" spans="10:11" x14ac:dyDescent="0.25">
      <c r="J199" s="90"/>
      <c r="K199" s="90"/>
    </row>
    <row r="200" spans="10:11" x14ac:dyDescent="0.25">
      <c r="J200" s="90"/>
      <c r="K200" s="90"/>
    </row>
    <row r="201" spans="10:11" x14ac:dyDescent="0.25">
      <c r="J201" s="90"/>
      <c r="K201" s="90"/>
    </row>
    <row r="202" spans="10:11" x14ac:dyDescent="0.25">
      <c r="J202" s="90"/>
      <c r="K202" s="90"/>
    </row>
    <row r="203" spans="10:11" x14ac:dyDescent="0.25">
      <c r="J203" s="90"/>
      <c r="K203" s="90"/>
    </row>
    <row r="204" spans="10:11" x14ac:dyDescent="0.25">
      <c r="J204" s="90"/>
      <c r="K204" s="90"/>
    </row>
    <row r="205" spans="10:11" x14ac:dyDescent="0.25">
      <c r="J205" s="90"/>
      <c r="K205" s="90"/>
    </row>
    <row r="206" spans="10:11" x14ac:dyDescent="0.25">
      <c r="J206" s="90"/>
      <c r="K206" s="90"/>
    </row>
    <row r="207" spans="10:11" x14ac:dyDescent="0.25">
      <c r="J207" s="90"/>
      <c r="K207" s="90"/>
    </row>
    <row r="208" spans="10:11" x14ac:dyDescent="0.25">
      <c r="J208" s="90"/>
      <c r="K208" s="90"/>
    </row>
    <row r="209" spans="10:11" x14ac:dyDescent="0.25">
      <c r="J209" s="90"/>
      <c r="K209" s="90"/>
    </row>
    <row r="210" spans="10:11" x14ac:dyDescent="0.25">
      <c r="J210" s="90"/>
      <c r="K210" s="90"/>
    </row>
    <row r="211" spans="10:11" x14ac:dyDescent="0.25">
      <c r="J211" s="90"/>
      <c r="K211" s="90"/>
    </row>
    <row r="212" spans="10:11" x14ac:dyDescent="0.25">
      <c r="J212" s="90"/>
      <c r="K212" s="90"/>
    </row>
    <row r="213" spans="10:11" x14ac:dyDescent="0.25">
      <c r="J213" s="90"/>
      <c r="K213" s="90"/>
    </row>
    <row r="214" spans="10:11" x14ac:dyDescent="0.25">
      <c r="J214" s="90"/>
      <c r="K214" s="90"/>
    </row>
    <row r="215" spans="10:11" x14ac:dyDescent="0.25">
      <c r="J215" s="90"/>
      <c r="K215" s="90"/>
    </row>
    <row r="216" spans="10:11" x14ac:dyDescent="0.25">
      <c r="J216" s="90"/>
      <c r="K216" s="90"/>
    </row>
    <row r="217" spans="10:11" x14ac:dyDescent="0.25">
      <c r="J217" s="90"/>
      <c r="K217" s="90"/>
    </row>
    <row r="218" spans="10:11" x14ac:dyDescent="0.25">
      <c r="J218" s="90"/>
      <c r="K218" s="90"/>
    </row>
    <row r="219" spans="10:11" x14ac:dyDescent="0.25">
      <c r="J219" s="90"/>
      <c r="K219" s="90"/>
    </row>
    <row r="220" spans="10:11" x14ac:dyDescent="0.25">
      <c r="J220" s="90"/>
      <c r="K220" s="90"/>
    </row>
    <row r="221" spans="10:11" x14ac:dyDescent="0.25">
      <c r="J221" s="90"/>
      <c r="K221" s="90"/>
    </row>
    <row r="222" spans="10:11" x14ac:dyDescent="0.25">
      <c r="J222" s="90"/>
      <c r="K222" s="90"/>
    </row>
    <row r="223" spans="10:11" x14ac:dyDescent="0.25">
      <c r="J223" s="90"/>
      <c r="K223" s="90"/>
    </row>
    <row r="224" spans="10:11" x14ac:dyDescent="0.25">
      <c r="J224" s="90"/>
      <c r="K224" s="90"/>
    </row>
    <row r="225" spans="10:11" x14ac:dyDescent="0.25">
      <c r="J225" s="90"/>
      <c r="K225" s="90"/>
    </row>
    <row r="226" spans="10:11" x14ac:dyDescent="0.25">
      <c r="J226" s="90"/>
      <c r="K226" s="90"/>
    </row>
    <row r="227" spans="10:11" x14ac:dyDescent="0.25">
      <c r="J227" s="90"/>
      <c r="K227" s="90"/>
    </row>
    <row r="228" spans="10:11" x14ac:dyDescent="0.25">
      <c r="J228" s="90"/>
      <c r="K228" s="90"/>
    </row>
    <row r="229" spans="10:11" x14ac:dyDescent="0.25">
      <c r="J229" s="90"/>
      <c r="K229" s="90"/>
    </row>
    <row r="230" spans="10:11" x14ac:dyDescent="0.25">
      <c r="J230" s="90"/>
      <c r="K230" s="90"/>
    </row>
    <row r="231" spans="10:11" x14ac:dyDescent="0.25">
      <c r="J231" s="90"/>
      <c r="K231" s="90"/>
    </row>
    <row r="232" spans="10:11" x14ac:dyDescent="0.25">
      <c r="J232" s="90"/>
      <c r="K232" s="90"/>
    </row>
    <row r="233" spans="10:11" x14ac:dyDescent="0.25">
      <c r="J233" s="90"/>
      <c r="K233" s="90"/>
    </row>
    <row r="234" spans="10:11" x14ac:dyDescent="0.25">
      <c r="J234" s="90"/>
      <c r="K234" s="90"/>
    </row>
    <row r="235" spans="10:11" x14ac:dyDescent="0.25">
      <c r="J235" s="90"/>
      <c r="K235" s="90"/>
    </row>
    <row r="236" spans="10:11" x14ac:dyDescent="0.25">
      <c r="J236" s="90"/>
      <c r="K236" s="90"/>
    </row>
    <row r="237" spans="10:11" x14ac:dyDescent="0.25">
      <c r="J237" s="90"/>
      <c r="K237" s="90"/>
    </row>
    <row r="238" spans="10:11" x14ac:dyDescent="0.25">
      <c r="J238" s="90"/>
      <c r="K238" s="90"/>
    </row>
    <row r="239" spans="10:11" x14ac:dyDescent="0.25">
      <c r="J239" s="90"/>
      <c r="K239" s="90"/>
    </row>
    <row r="240" spans="10:11" x14ac:dyDescent="0.25">
      <c r="J240" s="90"/>
      <c r="K240" s="90"/>
    </row>
    <row r="241" spans="10:11" x14ac:dyDescent="0.25">
      <c r="J241" s="90"/>
      <c r="K241" s="90"/>
    </row>
    <row r="242" spans="10:11" x14ac:dyDescent="0.25">
      <c r="J242" s="90"/>
      <c r="K242" s="90"/>
    </row>
    <row r="243" spans="10:11" x14ac:dyDescent="0.25">
      <c r="J243" s="90"/>
      <c r="K243" s="90"/>
    </row>
    <row r="244" spans="10:11" x14ac:dyDescent="0.25">
      <c r="J244" s="90"/>
      <c r="K244" s="90"/>
    </row>
    <row r="245" spans="10:11" x14ac:dyDescent="0.25">
      <c r="J245" s="90"/>
      <c r="K245" s="90"/>
    </row>
    <row r="246" spans="10:11" x14ac:dyDescent="0.25">
      <c r="J246" s="90"/>
      <c r="K246" s="90"/>
    </row>
    <row r="247" spans="10:11" x14ac:dyDescent="0.25">
      <c r="J247" s="90"/>
      <c r="K247" s="90"/>
    </row>
    <row r="248" spans="10:11" x14ac:dyDescent="0.25">
      <c r="J248" s="90"/>
      <c r="K248" s="90"/>
    </row>
    <row r="249" spans="10:11" x14ac:dyDescent="0.25">
      <c r="J249" s="90"/>
      <c r="K249" s="90"/>
    </row>
    <row r="250" spans="10:11" x14ac:dyDescent="0.25">
      <c r="J250" s="90"/>
      <c r="K250" s="90"/>
    </row>
    <row r="251" spans="10:11" x14ac:dyDescent="0.25">
      <c r="J251" s="90"/>
      <c r="K251" s="90"/>
    </row>
    <row r="252" spans="10:11" x14ac:dyDescent="0.25">
      <c r="J252" s="90"/>
      <c r="K252" s="90"/>
    </row>
    <row r="253" spans="10:11" x14ac:dyDescent="0.25">
      <c r="J253" s="90"/>
      <c r="K253" s="90"/>
    </row>
    <row r="254" spans="10:11" x14ac:dyDescent="0.25">
      <c r="J254" s="90"/>
      <c r="K254" s="90"/>
    </row>
    <row r="255" spans="10:11" x14ac:dyDescent="0.25">
      <c r="J255" s="90"/>
      <c r="K255" s="90"/>
    </row>
    <row r="256" spans="10:11" x14ac:dyDescent="0.25">
      <c r="J256" s="90"/>
      <c r="K256" s="90"/>
    </row>
    <row r="257" spans="10:11" x14ac:dyDescent="0.25">
      <c r="J257" s="90"/>
      <c r="K257" s="90"/>
    </row>
    <row r="258" spans="10:11" x14ac:dyDescent="0.25">
      <c r="J258" s="90"/>
      <c r="K258" s="90"/>
    </row>
    <row r="259" spans="10:11" x14ac:dyDescent="0.25">
      <c r="J259" s="90"/>
      <c r="K259" s="90"/>
    </row>
    <row r="260" spans="10:11" x14ac:dyDescent="0.25">
      <c r="J260" s="90"/>
      <c r="K260" s="90"/>
    </row>
    <row r="261" spans="10:11" x14ac:dyDescent="0.25">
      <c r="J261" s="90"/>
      <c r="K261" s="90"/>
    </row>
    <row r="262" spans="10:11" x14ac:dyDescent="0.25">
      <c r="J262" s="90"/>
      <c r="K262" s="90"/>
    </row>
    <row r="263" spans="10:11" x14ac:dyDescent="0.25">
      <c r="J263" s="90"/>
      <c r="K263" s="90"/>
    </row>
    <row r="264" spans="10:11" x14ac:dyDescent="0.25">
      <c r="J264" s="90"/>
      <c r="K264" s="90"/>
    </row>
    <row r="265" spans="10:11" x14ac:dyDescent="0.25">
      <c r="J265" s="90"/>
      <c r="K265" s="90"/>
    </row>
    <row r="266" spans="10:11" x14ac:dyDescent="0.25">
      <c r="J266" s="90"/>
      <c r="K266" s="90"/>
    </row>
    <row r="267" spans="10:11" x14ac:dyDescent="0.25">
      <c r="J267" s="90"/>
      <c r="K267" s="90"/>
    </row>
    <row r="268" spans="10:11" x14ac:dyDescent="0.25">
      <c r="J268" s="90"/>
      <c r="K268" s="90"/>
    </row>
    <row r="269" spans="10:11" x14ac:dyDescent="0.25">
      <c r="J269" s="90"/>
      <c r="K269" s="90"/>
    </row>
    <row r="270" spans="10:11" x14ac:dyDescent="0.25">
      <c r="J270" s="90"/>
      <c r="K270" s="90"/>
    </row>
  </sheetData>
  <sheetProtection algorithmName="SHA-512" hashValue="MVi/gGM2skPHIthU74y7XBQokdAnojniWrBxvO6fKAyvjF1iCQ5zKB9AUAC0bkRuJ6V0Y9KmO25u4nsNVzsjBA==" saltValue="3tc6lF9yHKCfD4BTLoZxXA==" spinCount="100000" sheet="1" objects="1" scenarios="1"/>
  <mergeCells count="9">
    <mergeCell ref="E37:H37"/>
    <mergeCell ref="L19:N19"/>
    <mergeCell ref="E5:H5"/>
    <mergeCell ref="B10:C10"/>
    <mergeCell ref="J10:K10"/>
    <mergeCell ref="B16:C21"/>
    <mergeCell ref="B22:C22"/>
    <mergeCell ref="B23:C26"/>
    <mergeCell ref="E23:H23"/>
  </mergeCells>
  <conditionalFormatting sqref="B16:C21">
    <cfRule type="containsText" dxfId="1" priority="2" operator="containsText" text="política">
      <formula>NOT(ISERROR(SEARCH("política",B16)))</formula>
    </cfRule>
  </conditionalFormatting>
  <conditionalFormatting sqref="E5:H5">
    <cfRule type="containsText" dxfId="0" priority="1" operator="containsText" text="EXCLUSIVA">
      <formula>NOT(ISERROR(SEARCH("EXCLUSIVA",E5)))</formula>
    </cfRule>
  </conditionalFormatting>
  <dataValidations count="1">
    <dataValidation type="list" allowBlank="1" showInputMessage="1" showErrorMessage="1" sqref="C14" xr:uid="{2403D9D1-9911-418A-BC45-DF21015278F3}">
      <formula1>$C$59:$C$60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70AC5-7DB2-499F-8F5B-9B30E510A37F}">
  <dimension ref="A1:Y138"/>
  <sheetViews>
    <sheetView workbookViewId="0">
      <selection activeCell="A2" sqref="A2:XFD101"/>
    </sheetView>
  </sheetViews>
  <sheetFormatPr defaultColWidth="9.28515625" defaultRowHeight="15" x14ac:dyDescent="0.25"/>
  <cols>
    <col min="1" max="1" width="26.5703125" bestFit="1" customWidth="1"/>
    <col min="2" max="2" width="10.7109375" bestFit="1" customWidth="1"/>
    <col min="3" max="3" width="13.5703125" customWidth="1"/>
    <col min="4" max="4" width="28" bestFit="1" customWidth="1"/>
    <col min="5" max="5" width="11.5703125" bestFit="1" customWidth="1"/>
    <col min="6" max="6" width="16.42578125" customWidth="1"/>
    <col min="7" max="7" width="22" bestFit="1" customWidth="1"/>
    <col min="8" max="8" width="15.5703125" bestFit="1" customWidth="1"/>
    <col min="9" max="9" width="6.28515625" customWidth="1"/>
    <col min="10" max="10" width="10.5703125" customWidth="1"/>
    <col min="11" max="11" width="12.28515625" customWidth="1"/>
    <col min="12" max="13" width="9.5703125" bestFit="1" customWidth="1"/>
    <col min="14" max="14" width="17" bestFit="1" customWidth="1"/>
    <col min="15" max="15" width="36.5703125" bestFit="1" customWidth="1"/>
    <col min="16" max="16" width="3.7109375" customWidth="1"/>
    <col min="17" max="17" width="12.7109375" bestFit="1" customWidth="1"/>
    <col min="18" max="18" width="10.7109375" bestFit="1" customWidth="1"/>
    <col min="19" max="19" width="43.85546875" style="8" customWidth="1"/>
    <col min="20" max="20" width="10.5703125" style="8" bestFit="1" customWidth="1"/>
  </cols>
  <sheetData>
    <row r="1" spans="1:21" ht="15" customHeight="1" x14ac:dyDescent="0.25">
      <c r="A1" s="5" t="s">
        <v>13</v>
      </c>
      <c r="B1" s="6">
        <f ca="1">TODAY()</f>
        <v>45726</v>
      </c>
      <c r="C1" s="7"/>
    </row>
    <row r="2" spans="1:21" ht="15" hidden="1" customHeight="1" x14ac:dyDescent="0.25">
      <c r="A2" s="5" t="s">
        <v>14</v>
      </c>
      <c r="B2" s="6">
        <f>'entrada de dados'!C11</f>
        <v>36959</v>
      </c>
    </row>
    <row r="3" spans="1:21" ht="15" hidden="1" customHeight="1" x14ac:dyDescent="0.25">
      <c r="A3" s="5" t="s">
        <v>8</v>
      </c>
      <c r="B3" s="121">
        <f>'entrada de dados'!C12</f>
        <v>1000</v>
      </c>
      <c r="G3" s="9"/>
    </row>
    <row r="4" spans="1:21" ht="15" hidden="1" customHeight="1" x14ac:dyDescent="0.25">
      <c r="A4" s="5" t="s">
        <v>9</v>
      </c>
      <c r="B4" s="122">
        <f>'entrada de dados'!C13</f>
        <v>10</v>
      </c>
    </row>
    <row r="5" spans="1:21" s="123" customFormat="1" ht="15" hidden="1" customHeight="1" x14ac:dyDescent="0.25">
      <c r="A5" s="124"/>
      <c r="B5" s="125"/>
      <c r="S5" s="49"/>
      <c r="T5" s="49"/>
    </row>
    <row r="6" spans="1:21" ht="15" hidden="1" customHeight="1" x14ac:dyDescent="0.25"/>
    <row r="7" spans="1:21" s="15" customFormat="1" ht="15" hidden="1" customHeight="1" x14ac:dyDescent="0.25">
      <c r="A7" s="10" t="s">
        <v>15</v>
      </c>
      <c r="B7" s="10"/>
      <c r="C7" s="11" t="s">
        <v>16</v>
      </c>
      <c r="D7" s="10" t="s">
        <v>17</v>
      </c>
      <c r="E7" s="12" t="s">
        <v>18</v>
      </c>
      <c r="F7" s="12" t="s">
        <v>19</v>
      </c>
      <c r="G7" s="13" t="s">
        <v>20</v>
      </c>
      <c r="H7" s="12" t="s">
        <v>21</v>
      </c>
      <c r="I7" s="12" t="s">
        <v>22</v>
      </c>
      <c r="J7" s="12" t="s">
        <v>23</v>
      </c>
      <c r="K7" s="12" t="s">
        <v>24</v>
      </c>
      <c r="L7" s="12" t="s">
        <v>25</v>
      </c>
      <c r="M7" s="12" t="s">
        <v>26</v>
      </c>
      <c r="N7" s="14" t="s">
        <v>27</v>
      </c>
      <c r="S7" s="16"/>
      <c r="T7" s="16"/>
    </row>
    <row r="8" spans="1:21" ht="15" hidden="1" customHeight="1" x14ac:dyDescent="0.25">
      <c r="A8" s="17">
        <f ca="1">IF($B$3&lt;$B$21,"",IF($B$4&gt;$B$20,"",IF(B2=0,"",IF(B3=0,"",IF(B4=0,"",IF(B4&gt;12,"",IF(MONTH(B1)&gt;=MONTH(B2),DATE(YEAR(B1)+1,MONTH(B2),1),DATE(YEAR(B1),MONTH(B2),1))))))))</f>
        <v>46082</v>
      </c>
      <c r="B8" s="5">
        <f>IF($B$3&lt;$B$21,"",IF($B$4&gt;$B$20,"",IF(B4=0,"",IF(B4&gt;12,"",1))))</f>
        <v>1</v>
      </c>
      <c r="C8" s="18">
        <f>IF($B$4&gt;$B$20,"",IF(B3&lt;$B$21,"",IF(B2=0,"",IF(B4=0,"",IF(B4&gt;12,"",B3)))))</f>
        <v>1000</v>
      </c>
      <c r="D8" s="19">
        <f t="shared" ref="D8:D17" si="0">IF(C8="","",IF(C8&gt;20000,5%,IF(C8&gt;15000,10%,IF(C8&gt;10000,15%,IF(C8&gt;5000,20%,IF(C8&gt;1000,30%,IF(C8&gt;500,40%,50%)))))))</f>
        <v>0.4</v>
      </c>
      <c r="E8" s="20">
        <f>IF(D8="","",C8*D8)</f>
        <v>400</v>
      </c>
      <c r="F8" s="20">
        <f>IF(C8="","",IF(C8&gt;20000,2900,IF(C8&gt;15000,1900,IF(C8&gt;10000,1150,IF(C8&gt;5000,650,IF(C8&gt;1000,150,IF(C8&gt;500,50,0)))))))</f>
        <v>50</v>
      </c>
      <c r="G8" s="20">
        <f>IF($B$4&gt;$B$20,"",IF(C8="","",F8+E8))</f>
        <v>450</v>
      </c>
      <c r="H8" s="21">
        <f>IF(C8="","",C8-G8)</f>
        <v>550</v>
      </c>
      <c r="I8" s="5">
        <f ca="1">IF(A8="","",IF(B3=0,"",A8-$B$1))</f>
        <v>356</v>
      </c>
      <c r="J8" s="20">
        <f ca="1">IF(A8="","",IF(B3=0,"",IF(B4=0,"",G8/($C$23^I8))))</f>
        <v>364.56795319100092</v>
      </c>
      <c r="K8" s="21">
        <f ca="1">IF(A8="","",IF(B3=0,"",J8*$B$25))</f>
        <v>1.3853582221258036</v>
      </c>
      <c r="L8" s="21">
        <f ca="1">IF(A8="","",IF(B3=0,"",J8*(IF(I8&lt;365,I8*$B$26,365*$B$26))))</f>
        <v>10.642467689551699</v>
      </c>
      <c r="M8" s="21">
        <f ca="1">IF(A8="","",IF(B3=0,"",K8+L8))</f>
        <v>12.027825911677503</v>
      </c>
      <c r="N8" s="21">
        <f ca="1">IF(A8="","",IF(B3=0,"",J8-K8-L8))</f>
        <v>352.54012727932337</v>
      </c>
      <c r="O8" s="22"/>
      <c r="P8" s="22"/>
      <c r="U8" s="22"/>
    </row>
    <row r="9" spans="1:21" ht="15" hidden="1" customHeight="1" x14ac:dyDescent="0.25">
      <c r="A9" s="17">
        <f ca="1">IF(B9="","",DATE(YEAR(A8)+1,MONTH(A8),DAY(A8)))</f>
        <v>46447</v>
      </c>
      <c r="B9" s="5">
        <f>IF(B8="","",IF(B8+1&gt;$B$4,"",B8+1))</f>
        <v>2</v>
      </c>
      <c r="C9" s="20">
        <f>IF(B9="","",IF(H8&lt;0.01,"",H8))</f>
        <v>550</v>
      </c>
      <c r="D9" s="19">
        <f t="shared" si="0"/>
        <v>0.4</v>
      </c>
      <c r="E9" s="20">
        <f>IF(D9="","",C9*D9)</f>
        <v>220</v>
      </c>
      <c r="F9" s="20">
        <f>IF(C9="","",IF(C9&gt;20000,2900,IF(C9&gt;15000,1900,IF(C9&gt;10000,1150,IF(C9&gt;5000,650,IF(C9&gt;1000,150,IF(C9&gt;500,50,0)))))))</f>
        <v>50</v>
      </c>
      <c r="G9" s="20">
        <f>IF(C9="","",F9+E9)</f>
        <v>270</v>
      </c>
      <c r="H9" s="21">
        <f>IF(C9="","",C9-G9)</f>
        <v>280</v>
      </c>
      <c r="I9" s="5">
        <f ca="1">IF(B9="","",A9-$B$1)</f>
        <v>721</v>
      </c>
      <c r="J9" s="20">
        <f t="shared" ref="J9:J17" ca="1" si="1">IF(B9="","",G9/($C$23^I9))</f>
        <v>176.27234506870181</v>
      </c>
      <c r="K9" s="21">
        <f t="shared" ref="K9:K17" ca="1" si="2">IF(B9="","",J9*$B$25)</f>
        <v>0.66983491126106687</v>
      </c>
      <c r="L9" s="21">
        <f t="shared" ref="L9:L17" ca="1" si="3">IF(B9="","",J9*(IF(I9&lt;365,I9*$B$26,365*$B$26)))</f>
        <v>5.2758312879062457</v>
      </c>
      <c r="M9" s="21">
        <f ca="1">IF(B9="","",K9+L9)</f>
        <v>5.945666199167313</v>
      </c>
      <c r="N9" s="21">
        <f ca="1">IF(B9="","",J9-K9-L9)</f>
        <v>170.3266788695345</v>
      </c>
      <c r="O9" s="22">
        <f ca="1">N9+N8</f>
        <v>522.8668061488579</v>
      </c>
      <c r="P9" s="22"/>
    </row>
    <row r="10" spans="1:21" ht="15" hidden="1" customHeight="1" x14ac:dyDescent="0.25">
      <c r="A10" s="17">
        <f t="shared" ref="A10:A17" ca="1" si="4">IF(B10="","",DATE(YEAR(A9)+1,MONTH(A9),DAY(A9)))</f>
        <v>46813</v>
      </c>
      <c r="B10" s="5">
        <f>IF(B9="","",IF(B9+1&gt;$B$4,"",B9+1))</f>
        <v>3</v>
      </c>
      <c r="C10" s="20">
        <f t="shared" ref="C10:C12" si="5">IF(B10="","",IF(H9&lt;0.01,"",H9))</f>
        <v>280</v>
      </c>
      <c r="D10" s="19">
        <f t="shared" si="0"/>
        <v>0.5</v>
      </c>
      <c r="E10" s="20">
        <f t="shared" ref="E10:E17" si="6">IF(D10="","",C10*D10)</f>
        <v>140</v>
      </c>
      <c r="F10" s="20">
        <f t="shared" ref="F10:F17" si="7">IF(C10="","",IF(C10&gt;20000,2900,IF(C10&gt;15000,1900,IF(C10&gt;10000,1150,IF(C10&gt;5000,650,IF(C10&gt;1000,150,IF(C10&gt;500,50,0)))))))</f>
        <v>0</v>
      </c>
      <c r="G10" s="20">
        <f t="shared" ref="G10:G17" si="8">IF(C10="","",F10+E10)</f>
        <v>140</v>
      </c>
      <c r="H10" s="21">
        <f t="shared" ref="H10:H17" si="9">IF(C10="","",C10-G10)</f>
        <v>140</v>
      </c>
      <c r="I10" s="5">
        <f t="shared" ref="I10:I17" ca="1" si="10">IF(B10="","",A10-$B$1)</f>
        <v>1087</v>
      </c>
      <c r="J10" s="20">
        <f t="shared" ca="1" si="1"/>
        <v>73.61156626957623</v>
      </c>
      <c r="K10" s="21">
        <f t="shared" ca="1" si="2"/>
        <v>0.27972395182438969</v>
      </c>
      <c r="L10" s="21">
        <f t="shared" ca="1" si="3"/>
        <v>2.2031941784484168</v>
      </c>
      <c r="M10" s="21">
        <f t="shared" ref="M10:M17" ca="1" si="11">IF(B10="","",K10+L10)</f>
        <v>2.4829181302728065</v>
      </c>
      <c r="N10" s="21">
        <f t="shared" ref="N10:N17" ca="1" si="12">IF(B10="","",J10-K10-L10)</f>
        <v>71.128648139303422</v>
      </c>
      <c r="O10" s="22">
        <f t="shared" ref="O10:O17" ca="1" si="13">N10+O9</f>
        <v>593.99545428816134</v>
      </c>
      <c r="P10" s="22"/>
    </row>
    <row r="11" spans="1:21" ht="15" hidden="1" customHeight="1" x14ac:dyDescent="0.25">
      <c r="A11" s="17">
        <f t="shared" ca="1" si="4"/>
        <v>47178</v>
      </c>
      <c r="B11" s="5">
        <f t="shared" ref="B11:B17" si="14">IF(B10="","",IF(B10+1&gt;$B$4,"",B10+1))</f>
        <v>4</v>
      </c>
      <c r="C11" s="20">
        <f t="shared" si="5"/>
        <v>140</v>
      </c>
      <c r="D11" s="19">
        <f t="shared" si="0"/>
        <v>0.5</v>
      </c>
      <c r="E11" s="20">
        <f t="shared" si="6"/>
        <v>70</v>
      </c>
      <c r="F11" s="20">
        <f t="shared" si="7"/>
        <v>0</v>
      </c>
      <c r="G11" s="20">
        <f t="shared" si="8"/>
        <v>70</v>
      </c>
      <c r="H11" s="21">
        <f t="shared" si="9"/>
        <v>70</v>
      </c>
      <c r="I11" s="5">
        <f t="shared" ca="1" si="10"/>
        <v>1452</v>
      </c>
      <c r="J11" s="20">
        <f t="shared" ca="1" si="1"/>
        <v>29.659956159394554</v>
      </c>
      <c r="K11" s="21">
        <f t="shared" ca="1" si="2"/>
        <v>0.1127078334056993</v>
      </c>
      <c r="L11" s="21">
        <f t="shared" ca="1" si="3"/>
        <v>0.88772248785067909</v>
      </c>
      <c r="M11" s="21">
        <f t="shared" ca="1" si="11"/>
        <v>1.0004303212563783</v>
      </c>
      <c r="N11" s="21">
        <f t="shared" ca="1" si="12"/>
        <v>28.659525838138173</v>
      </c>
      <c r="O11" s="22">
        <f t="shared" ca="1" si="13"/>
        <v>622.65498012629951</v>
      </c>
      <c r="P11" s="22"/>
    </row>
    <row r="12" spans="1:21" ht="15" hidden="1" customHeight="1" x14ac:dyDescent="0.25">
      <c r="A12" s="17">
        <f t="shared" ca="1" si="4"/>
        <v>47543</v>
      </c>
      <c r="B12" s="5">
        <f t="shared" si="14"/>
        <v>5</v>
      </c>
      <c r="C12" s="20">
        <f t="shared" si="5"/>
        <v>70</v>
      </c>
      <c r="D12" s="19">
        <f t="shared" si="0"/>
        <v>0.5</v>
      </c>
      <c r="E12" s="20">
        <f t="shared" si="6"/>
        <v>35</v>
      </c>
      <c r="F12" s="20">
        <f t="shared" si="7"/>
        <v>0</v>
      </c>
      <c r="G12" s="20">
        <f t="shared" si="8"/>
        <v>35</v>
      </c>
      <c r="H12" s="21">
        <f t="shared" si="9"/>
        <v>35</v>
      </c>
      <c r="I12" s="5">
        <f t="shared" ca="1" si="10"/>
        <v>1817</v>
      </c>
      <c r="J12" s="20">
        <f t="shared" ca="1" si="1"/>
        <v>11.950744209891832</v>
      </c>
      <c r="K12" s="21">
        <f t="shared" ca="1" si="2"/>
        <v>4.5412827997588959E-2</v>
      </c>
      <c r="L12" s="21">
        <f t="shared" ca="1" si="3"/>
        <v>0.35768577420206255</v>
      </c>
      <c r="M12" s="21">
        <f t="shared" ca="1" si="11"/>
        <v>0.40309860219965149</v>
      </c>
      <c r="N12" s="21">
        <f t="shared" ca="1" si="12"/>
        <v>11.54764560769218</v>
      </c>
      <c r="O12" s="22">
        <f t="shared" ca="1" si="13"/>
        <v>634.20262573399168</v>
      </c>
      <c r="P12" s="22"/>
    </row>
    <row r="13" spans="1:21" ht="15" hidden="1" customHeight="1" thickBot="1" x14ac:dyDescent="0.3">
      <c r="A13" s="23">
        <f t="shared" ca="1" si="4"/>
        <v>47908</v>
      </c>
      <c r="B13" s="24">
        <f t="shared" si="14"/>
        <v>6</v>
      </c>
      <c r="C13" s="25">
        <f>IF(B13="","",IF(H12&lt;0.01,"",H12))</f>
        <v>35</v>
      </c>
      <c r="D13" s="26">
        <f t="shared" si="0"/>
        <v>0.5</v>
      </c>
      <c r="E13" s="25">
        <f t="shared" si="6"/>
        <v>17.5</v>
      </c>
      <c r="F13" s="25">
        <f t="shared" si="7"/>
        <v>0</v>
      </c>
      <c r="G13" s="25">
        <f t="shared" si="8"/>
        <v>17.5</v>
      </c>
      <c r="H13" s="27">
        <f t="shared" si="9"/>
        <v>17.5</v>
      </c>
      <c r="I13" s="24">
        <f t="shared" ca="1" si="10"/>
        <v>2182</v>
      </c>
      <c r="J13" s="25">
        <f t="shared" ca="1" si="1"/>
        <v>4.8152561791641748</v>
      </c>
      <c r="K13" s="27">
        <f t="shared" ca="1" si="2"/>
        <v>1.8297973480823865E-2</v>
      </c>
      <c r="L13" s="27">
        <f t="shared" ca="1" si="3"/>
        <v>0.14412061744238375</v>
      </c>
      <c r="M13" s="27">
        <f t="shared" ca="1" si="11"/>
        <v>0.16241859092320762</v>
      </c>
      <c r="N13" s="27">
        <f t="shared" ca="1" si="12"/>
        <v>4.6528375882409678</v>
      </c>
      <c r="O13" s="22">
        <f t="shared" ca="1" si="13"/>
        <v>638.85546332223259</v>
      </c>
      <c r="P13" s="22"/>
      <c r="Q13" s="28"/>
      <c r="R13" s="28"/>
    </row>
    <row r="14" spans="1:21" ht="15" hidden="1" customHeight="1" thickBot="1" x14ac:dyDescent="0.3">
      <c r="A14" s="23">
        <f t="shared" ca="1" si="4"/>
        <v>48274</v>
      </c>
      <c r="B14" s="24">
        <f t="shared" si="14"/>
        <v>7</v>
      </c>
      <c r="C14" s="25">
        <f t="shared" ref="C14:C17" si="15">IF(B14="","",IF(H13&lt;0.01,"",H13))</f>
        <v>17.5</v>
      </c>
      <c r="D14" s="26">
        <f t="shared" si="0"/>
        <v>0.5</v>
      </c>
      <c r="E14" s="25">
        <f t="shared" si="6"/>
        <v>8.75</v>
      </c>
      <c r="F14" s="25">
        <f t="shared" si="7"/>
        <v>0</v>
      </c>
      <c r="G14" s="25">
        <f t="shared" si="8"/>
        <v>8.75</v>
      </c>
      <c r="H14" s="27">
        <f t="shared" si="9"/>
        <v>8.75</v>
      </c>
      <c r="I14" s="24">
        <f t="shared" ca="1" si="10"/>
        <v>2548</v>
      </c>
      <c r="J14" s="25">
        <f t="shared" ca="1" si="1"/>
        <v>1.9390410634146991</v>
      </c>
      <c r="K14" s="27">
        <f t="shared" ca="1" si="2"/>
        <v>7.3683560409758568E-3</v>
      </c>
      <c r="L14" s="27">
        <f t="shared" ca="1" si="3"/>
        <v>5.8035499028001945E-2</v>
      </c>
      <c r="M14" s="27">
        <f t="shared" ca="1" si="11"/>
        <v>6.5403855068977806E-2</v>
      </c>
      <c r="N14" s="27">
        <f t="shared" ca="1" si="12"/>
        <v>1.8736372083457213</v>
      </c>
      <c r="O14" s="22">
        <f t="shared" ca="1" si="13"/>
        <v>640.72910053057831</v>
      </c>
      <c r="P14" s="22"/>
      <c r="Q14" s="29" t="s">
        <v>28</v>
      </c>
      <c r="R14" s="30" t="s">
        <v>29</v>
      </c>
    </row>
    <row r="15" spans="1:21" ht="15" hidden="1" customHeight="1" x14ac:dyDescent="0.25">
      <c r="A15" s="23">
        <f t="shared" ca="1" si="4"/>
        <v>48639</v>
      </c>
      <c r="B15" s="24">
        <f t="shared" si="14"/>
        <v>8</v>
      </c>
      <c r="C15" s="25">
        <f t="shared" si="15"/>
        <v>8.75</v>
      </c>
      <c r="D15" s="26">
        <f t="shared" si="0"/>
        <v>0.5</v>
      </c>
      <c r="E15" s="25">
        <f t="shared" si="6"/>
        <v>4.375</v>
      </c>
      <c r="F15" s="25">
        <f t="shared" si="7"/>
        <v>0</v>
      </c>
      <c r="G15" s="25">
        <f t="shared" si="8"/>
        <v>4.375</v>
      </c>
      <c r="H15" s="27">
        <f t="shared" si="9"/>
        <v>4.375</v>
      </c>
      <c r="I15" s="24">
        <f t="shared" ca="1" si="10"/>
        <v>2913</v>
      </c>
      <c r="J15" s="25">
        <f t="shared" ca="1" si="1"/>
        <v>0.7812885372052667</v>
      </c>
      <c r="K15" s="27">
        <f t="shared" ca="1" si="2"/>
        <v>2.9688964413800136E-3</v>
      </c>
      <c r="L15" s="27">
        <f t="shared" ca="1" si="3"/>
        <v>2.3383965918553632E-2</v>
      </c>
      <c r="M15" s="27">
        <f t="shared" ca="1" si="11"/>
        <v>2.6352862359933647E-2</v>
      </c>
      <c r="N15" s="27">
        <f t="shared" ca="1" si="12"/>
        <v>0.75493567484533308</v>
      </c>
      <c r="O15" s="22">
        <f t="shared" ca="1" si="13"/>
        <v>641.48403620542365</v>
      </c>
      <c r="P15" s="22"/>
      <c r="Q15" s="31">
        <f ca="1">SUM(N8:N17)</f>
        <v>641.91078167160538</v>
      </c>
      <c r="R15" s="32">
        <f ca="1">Q15*6%</f>
        <v>38.51464690029632</v>
      </c>
    </row>
    <row r="16" spans="1:21" ht="15" hidden="1" customHeight="1" x14ac:dyDescent="0.25">
      <c r="A16" s="23">
        <f t="shared" ca="1" si="4"/>
        <v>49004</v>
      </c>
      <c r="B16" s="24">
        <f t="shared" si="14"/>
        <v>9</v>
      </c>
      <c r="C16" s="25">
        <f t="shared" si="15"/>
        <v>4.375</v>
      </c>
      <c r="D16" s="26">
        <f t="shared" si="0"/>
        <v>0.5</v>
      </c>
      <c r="E16" s="25">
        <f t="shared" si="6"/>
        <v>2.1875</v>
      </c>
      <c r="F16" s="25">
        <f t="shared" si="7"/>
        <v>0</v>
      </c>
      <c r="G16" s="25">
        <f t="shared" si="8"/>
        <v>2.1875</v>
      </c>
      <c r="H16" s="27">
        <f t="shared" si="9"/>
        <v>2.1875</v>
      </c>
      <c r="I16" s="24">
        <f t="shared" ca="1" si="10"/>
        <v>3278</v>
      </c>
      <c r="J16" s="25">
        <f t="shared" ca="1" si="1"/>
        <v>0.31480085176401329</v>
      </c>
      <c r="K16" s="27">
        <f t="shared" ca="1" si="2"/>
        <v>1.1962432367032506E-3</v>
      </c>
      <c r="L16" s="27">
        <f t="shared" ca="1" si="3"/>
        <v>9.4219894932969176E-3</v>
      </c>
      <c r="M16" s="27">
        <f t="shared" ca="1" si="11"/>
        <v>1.0618232730000168E-2</v>
      </c>
      <c r="N16" s="27">
        <f t="shared" ca="1" si="12"/>
        <v>0.30418261903401311</v>
      </c>
      <c r="O16" s="22">
        <f t="shared" ca="1" si="13"/>
        <v>641.78821882445766</v>
      </c>
      <c r="P16" s="22"/>
      <c r="Q16" s="33"/>
      <c r="R16" s="34"/>
    </row>
    <row r="17" spans="1:25" ht="15" hidden="1" customHeight="1" thickBot="1" x14ac:dyDescent="0.3">
      <c r="A17" s="23">
        <f t="shared" ca="1" si="4"/>
        <v>49369</v>
      </c>
      <c r="B17" s="24">
        <f t="shared" si="14"/>
        <v>10</v>
      </c>
      <c r="C17" s="25">
        <f t="shared" si="15"/>
        <v>2.1875</v>
      </c>
      <c r="D17" s="26">
        <f t="shared" si="0"/>
        <v>0.5</v>
      </c>
      <c r="E17" s="25">
        <f t="shared" si="6"/>
        <v>1.09375</v>
      </c>
      <c r="F17" s="25">
        <f t="shared" si="7"/>
        <v>0</v>
      </c>
      <c r="G17" s="25">
        <f t="shared" si="8"/>
        <v>1.09375</v>
      </c>
      <c r="H17" s="27">
        <f t="shared" si="9"/>
        <v>1.09375</v>
      </c>
      <c r="I17" s="24">
        <f t="shared" ca="1" si="10"/>
        <v>3643</v>
      </c>
      <c r="J17" s="25">
        <f t="shared" ca="1" si="1"/>
        <v>0.12684120085242215</v>
      </c>
      <c r="K17" s="27">
        <f t="shared" ca="1" si="2"/>
        <v>4.8199656323920414E-4</v>
      </c>
      <c r="L17" s="27">
        <f t="shared" ca="1" si="3"/>
        <v>3.7963571415129951E-3</v>
      </c>
      <c r="M17" s="27">
        <f t="shared" ca="1" si="11"/>
        <v>4.2783537047521997E-3</v>
      </c>
      <c r="N17" s="27">
        <f t="shared" ca="1" si="12"/>
        <v>0.12256284714766993</v>
      </c>
      <c r="O17" s="22">
        <f t="shared" ca="1" si="13"/>
        <v>641.91078167160538</v>
      </c>
      <c r="P17" s="22"/>
      <c r="Q17" s="35"/>
      <c r="R17" s="36"/>
    </row>
    <row r="18" spans="1:25" s="42" customFormat="1" ht="15" hidden="1" customHeight="1" x14ac:dyDescent="0.25">
      <c r="A18" s="37"/>
      <c r="B18" s="37">
        <f>MAX(B8:B17)</f>
        <v>10</v>
      </c>
      <c r="C18" s="38"/>
      <c r="D18" s="39"/>
      <c r="E18" s="38">
        <f>SUM(E8:E17)</f>
        <v>898.90625</v>
      </c>
      <c r="F18" s="38">
        <f>SUM(F8:F17)</f>
        <v>100</v>
      </c>
      <c r="G18" s="38">
        <f>SUM(G8:G17)</f>
        <v>998.90625</v>
      </c>
      <c r="H18" s="38"/>
      <c r="I18" s="37"/>
      <c r="J18" s="38">
        <f ca="1">SUM(J8:J17)</f>
        <v>664.03979273096593</v>
      </c>
      <c r="K18" s="40">
        <f ca="1">SUM(K8:K17)</f>
        <v>2.5233512123776709</v>
      </c>
      <c r="L18" s="40">
        <f ca="1">SUM(L8:L17)</f>
        <v>19.605659846982853</v>
      </c>
      <c r="M18" s="40">
        <f ca="1">SUM(M8:M17)</f>
        <v>22.129011059360522</v>
      </c>
      <c r="N18" s="40">
        <f ca="1">J18-K18-L18</f>
        <v>641.91078167160549</v>
      </c>
      <c r="O18" s="41"/>
      <c r="P18" s="41"/>
      <c r="S18" s="43"/>
      <c r="T18" s="43"/>
    </row>
    <row r="19" spans="1:25" s="42" customFormat="1" ht="15" hidden="1" customHeight="1" x14ac:dyDescent="0.25">
      <c r="C19" s="44"/>
      <c r="D19" s="45"/>
      <c r="E19" s="44"/>
      <c r="F19" s="44"/>
      <c r="G19" s="44"/>
      <c r="H19" s="44"/>
      <c r="J19" s="44"/>
      <c r="K19" s="41"/>
      <c r="L19" s="41"/>
      <c r="M19" s="41"/>
      <c r="N19" s="41"/>
      <c r="O19" s="41"/>
      <c r="P19" s="41"/>
      <c r="S19" s="43"/>
      <c r="T19" s="43"/>
    </row>
    <row r="20" spans="1:25" ht="15" hidden="1" customHeight="1" x14ac:dyDescent="0.25">
      <c r="A20" s="5" t="s">
        <v>30</v>
      </c>
      <c r="B20" s="5">
        <v>10</v>
      </c>
      <c r="C20" s="46"/>
      <c r="D20" s="47"/>
      <c r="E20" s="46"/>
      <c r="F20" s="46"/>
      <c r="G20" s="46"/>
      <c r="H20" s="22"/>
    </row>
    <row r="21" spans="1:25" ht="15" hidden="1" customHeight="1" x14ac:dyDescent="0.25">
      <c r="A21" s="5" t="s">
        <v>31</v>
      </c>
      <c r="B21" s="21">
        <v>100</v>
      </c>
      <c r="C21" s="48"/>
      <c r="D21" s="47"/>
      <c r="E21" s="48"/>
      <c r="F21" s="48"/>
      <c r="G21" s="48"/>
      <c r="H21" s="22"/>
      <c r="S21" s="49"/>
      <c r="T21" s="49"/>
    </row>
    <row r="22" spans="1:25" ht="15" hidden="1" customHeight="1" x14ac:dyDescent="0.25">
      <c r="C22" s="48"/>
      <c r="D22" s="47"/>
      <c r="E22" s="48"/>
      <c r="F22" s="48"/>
      <c r="G22" s="48"/>
      <c r="H22" s="50"/>
      <c r="S22" s="49"/>
      <c r="T22" s="49"/>
    </row>
    <row r="23" spans="1:25" ht="15" hidden="1" customHeight="1" x14ac:dyDescent="0.25">
      <c r="A23" s="5" t="s">
        <v>32</v>
      </c>
      <c r="B23" s="51">
        <f>IF('[1]FGTS - entrada de dados'!C14="SIM",1.5%,1.79%)</f>
        <v>1.7899999999999999E-2</v>
      </c>
      <c r="C23" s="52">
        <f>(1+B23)^(1/30)</f>
        <v>1.0005915642877168</v>
      </c>
      <c r="G23" s="22">
        <f ca="1">$N$18</f>
        <v>641.91078167160549</v>
      </c>
      <c r="H23">
        <f ca="1">IF('entrada de dados'!C14="Ressaque",0,IF($G23&lt;100,0,IF($G23&lt;300,60,IF($G23&lt;600,80,IF($G23&lt;1000,100,IF($G23&lt;2000,120,IF($G23&lt;3000,200,IF($G23&lt;4000,250,IF($G23&lt;10000,450,IF($G23&lt;20000,600,IF($G23&lt;30000,700,IF($G23&lt;50000,1200,2000))))))))))))</f>
        <v>100</v>
      </c>
      <c r="J23" s="22"/>
      <c r="L23" s="22"/>
      <c r="M23" s="22"/>
    </row>
    <row r="24" spans="1:25" ht="15" hidden="1" customHeight="1" x14ac:dyDescent="0.25">
      <c r="A24" s="5" t="s">
        <v>33</v>
      </c>
      <c r="B24" s="53">
        <f ca="1">IFERROR(H36,"")</f>
        <v>0.23730000000000001</v>
      </c>
      <c r="C24" s="46"/>
      <c r="D24" s="47"/>
      <c r="E24" s="46"/>
      <c r="F24" s="46"/>
      <c r="G24" s="22"/>
      <c r="I24" s="22"/>
      <c r="O24" s="54"/>
      <c r="P24" s="54"/>
    </row>
    <row r="25" spans="1:25" ht="15" hidden="1" customHeight="1" x14ac:dyDescent="0.25">
      <c r="A25" s="5" t="s">
        <v>34</v>
      </c>
      <c r="B25" s="55">
        <v>3.8E-3</v>
      </c>
      <c r="C25" s="46"/>
      <c r="D25" s="47"/>
      <c r="E25" s="46"/>
      <c r="F25" s="46"/>
      <c r="G25" s="22"/>
    </row>
    <row r="26" spans="1:25" ht="15" hidden="1" customHeight="1" x14ac:dyDescent="0.25">
      <c r="A26" s="5" t="s">
        <v>35</v>
      </c>
      <c r="B26" s="56">
        <v>8.2000000000000001E-5</v>
      </c>
      <c r="C26" s="46"/>
      <c r="D26" s="47"/>
      <c r="E26" s="46"/>
      <c r="F26" s="46"/>
      <c r="G26" s="46"/>
      <c r="H26" s="22"/>
    </row>
    <row r="27" spans="1:25" ht="15" hidden="1" customHeight="1" x14ac:dyDescent="0.25">
      <c r="A27" s="5" t="s">
        <v>36</v>
      </c>
      <c r="B27" s="21">
        <f ca="1">K18+L18</f>
        <v>22.129011059360522</v>
      </c>
      <c r="C27" s="46"/>
      <c r="D27" s="47"/>
      <c r="E27" s="46"/>
      <c r="F27" s="46"/>
      <c r="G27" s="46"/>
      <c r="H27" s="22"/>
    </row>
    <row r="28" spans="1:25" ht="15" hidden="1" customHeight="1" x14ac:dyDescent="0.25">
      <c r="A28" s="5" t="s">
        <v>37</v>
      </c>
      <c r="B28" s="21">
        <f ca="1">G18-K18-L18-N18</f>
        <v>334.86645726903407</v>
      </c>
      <c r="C28" s="46"/>
      <c r="D28" s="47"/>
      <c r="E28" s="46"/>
      <c r="F28" s="46"/>
      <c r="G28" s="46"/>
      <c r="H28" s="22"/>
    </row>
    <row r="29" spans="1:25" ht="15" hidden="1" customHeight="1" x14ac:dyDescent="0.25">
      <c r="A29" s="5" t="s">
        <v>38</v>
      </c>
      <c r="B29" s="55">
        <f ca="1">C36</f>
        <v>2.8140924468449624E-2</v>
      </c>
      <c r="C29" s="46"/>
      <c r="D29" s="47"/>
      <c r="E29" s="46"/>
      <c r="F29" s="46"/>
      <c r="G29" s="46"/>
      <c r="H29" s="22"/>
    </row>
    <row r="30" spans="1:25" ht="15" hidden="1" customHeight="1" x14ac:dyDescent="0.25">
      <c r="A30" s="5" t="s">
        <v>39</v>
      </c>
      <c r="B30" s="55">
        <f ca="1">IFERROR(D36,"")</f>
        <v>0.4017</v>
      </c>
      <c r="C30" s="46"/>
      <c r="D30" s="47"/>
      <c r="E30" s="46"/>
      <c r="F30" s="46"/>
      <c r="G30" s="46"/>
      <c r="H30" s="22"/>
      <c r="N30" s="57"/>
      <c r="U30" s="58"/>
      <c r="V30" s="58"/>
      <c r="W30" s="58"/>
      <c r="X30" s="58"/>
      <c r="Y30" s="58"/>
    </row>
    <row r="31" spans="1:25" ht="15" hidden="1" customHeight="1" x14ac:dyDescent="0.25">
      <c r="A31" s="59" t="s">
        <v>11</v>
      </c>
      <c r="B31" s="21">
        <f ca="1">H23</f>
        <v>100</v>
      </c>
      <c r="C31" s="46"/>
      <c r="D31" s="47"/>
      <c r="E31" s="46"/>
      <c r="F31" s="46"/>
      <c r="G31" s="46"/>
      <c r="H31" s="22"/>
      <c r="N31" s="57"/>
      <c r="U31" s="58"/>
      <c r="V31" s="58"/>
      <c r="W31" s="58"/>
      <c r="X31" s="58"/>
      <c r="Y31" s="58"/>
    </row>
    <row r="32" spans="1:25" ht="15" hidden="1" customHeight="1" x14ac:dyDescent="0.25">
      <c r="A32" s="60" t="s">
        <v>40</v>
      </c>
      <c r="B32" s="22"/>
      <c r="C32" s="46"/>
      <c r="D32" s="47"/>
      <c r="E32" s="46"/>
      <c r="F32" s="46"/>
      <c r="G32" s="46"/>
      <c r="H32" s="22"/>
      <c r="N32" s="57"/>
    </row>
    <row r="33" spans="1:20" ht="15" hidden="1" customHeight="1" x14ac:dyDescent="0.25">
      <c r="A33" s="61"/>
      <c r="B33" s="22" t="s">
        <v>41</v>
      </c>
      <c r="C33" s="46"/>
      <c r="D33" s="47"/>
      <c r="E33" s="46"/>
      <c r="F33" s="46"/>
      <c r="G33" s="46"/>
      <c r="H33" s="22"/>
      <c r="N33" s="57"/>
    </row>
    <row r="34" spans="1:20" ht="15" hidden="1" customHeight="1" x14ac:dyDescent="0.25">
      <c r="A34" s="61"/>
      <c r="B34" s="22" t="s">
        <v>10</v>
      </c>
      <c r="C34" s="46"/>
      <c r="D34" s="47"/>
      <c r="E34" s="46"/>
      <c r="F34" s="46"/>
      <c r="G34" s="46"/>
      <c r="H34" s="22"/>
      <c r="J34" s="62"/>
      <c r="K34" s="62"/>
      <c r="L34" s="62"/>
      <c r="M34" s="62"/>
      <c r="N34" s="63"/>
      <c r="O34" s="62"/>
      <c r="P34" s="62"/>
      <c r="Q34" s="62"/>
      <c r="R34" s="62"/>
    </row>
    <row r="35" spans="1:20" s="1" customFormat="1" ht="15" hidden="1" customHeight="1" x14ac:dyDescent="0.25">
      <c r="B35" s="64" t="s">
        <v>42</v>
      </c>
      <c r="C35" s="65" t="s">
        <v>43</v>
      </c>
      <c r="D35" s="66" t="s">
        <v>44</v>
      </c>
      <c r="E35" s="67"/>
      <c r="F35" s="68" t="s">
        <v>45</v>
      </c>
      <c r="G35" s="65" t="s">
        <v>43</v>
      </c>
      <c r="H35" s="66" t="s">
        <v>44</v>
      </c>
      <c r="J35" s="69"/>
      <c r="M35" s="69"/>
      <c r="N35" s="70"/>
      <c r="O35" s="71" t="s">
        <v>46</v>
      </c>
      <c r="P35" s="71"/>
      <c r="Q35" s="72">
        <f ca="1">J18</f>
        <v>664.03979273096593</v>
      </c>
      <c r="R35" s="69"/>
      <c r="S35" s="73"/>
      <c r="T35" s="73"/>
    </row>
    <row r="36" spans="1:20" s="1" customFormat="1" ht="15" hidden="1" customHeight="1" x14ac:dyDescent="0.25">
      <c r="B36" s="64"/>
      <c r="C36" s="74">
        <f ca="1">IF(B4=10,(XIRR(D40:D50,C40:C50,0)+1)^(30/365)-1,IF(B4=9,(XIRR(D40:D49,C40:C49,0)+1)^(30/365)-1,IF(B4=8,(XIRR(D40:D48,C40:C48,0)+1)^(30/365)-1,IF(B4=7,(XIRR(D40:D47,C40:C47,0)+1)^(30/365)-1,IF(B4=6,(XIRR(D40:D46,C40:C46,0)+1)^(30/365)-1,IF(B4=5,(XIRR(D40:D45,C40:C45,0)+1)^(30/365)-1,IF(B4=4,(XIRR(D40:D44,C40:C44,0)+1)^(30/365)-1,IF(B4=3,(XIRR(D40:D43,C40:C43,0)+1)^(30/365)-1,IF(B4=2,(XIRR(D40:D42,C40:C42,0)+1)^(30/365)-1,IF(B4=1,(XIRR(D40:D41,C40:C41,0)+1)^(30/365)-1,""))))))))))</f>
        <v>2.8140924468449624E-2</v>
      </c>
      <c r="D36" s="74">
        <f ca="1">ROUND((((C36+1)^(365/30)-1)),4)</f>
        <v>0.4017</v>
      </c>
      <c r="E36" s="67"/>
      <c r="F36" s="68"/>
      <c r="G36" s="74">
        <f ca="1">IF(B4=10,(XIRR(H40:H50,G40:G50,0)+1)^(30/365)-1,IF(B4=9,(XIRR(H40:H49,G40:G49,0)+1)^(30/365)-1,IF(B4=8,(XIRR(H40:H48,G40:G48,0)+1)^(30/365)-1,IF(B4=7,(XIRR(H40:H47,G40:G47,0)+1)^(30/365)-1,IF(B4=6,(XIRR(H40:H46,G40:G46,0)+1)^(30/365)-1,IF(B4=5,(XIRR(H40:H45,G40:G45,0)+1)^(30/365)-1,IF(B4=4,(XIRR(H40:H44,G40:G44,0)+1)^(30/365)-1,IF(B4=3,(XIRR(H40:H43,G40:G43,0)+1)^(30/365)-1,IF(B4=2,(XIRR(H40:H42,G40:G42,0)+1)^(30/365)-1,IF(B4=1,(XIRR(H40:H41,G40:G41,0)+1)^(30/365)-1,""))))))))))</f>
        <v>1.7900000306115382E-2</v>
      </c>
      <c r="H36" s="74">
        <f ca="1">ROUND((((G36+1)^(12)-1)),4)</f>
        <v>0.23730000000000001</v>
      </c>
      <c r="J36" s="69"/>
      <c r="M36" s="69"/>
      <c r="N36" s="70"/>
      <c r="O36" s="71" t="s">
        <v>47</v>
      </c>
      <c r="P36" s="71"/>
      <c r="Q36" s="72">
        <f ca="1">M18</f>
        <v>22.129011059360522</v>
      </c>
      <c r="R36" s="69"/>
      <c r="S36" s="73"/>
      <c r="T36" s="73"/>
    </row>
    <row r="37" spans="1:20" ht="15" hidden="1" customHeight="1" x14ac:dyDescent="0.25">
      <c r="C37" s="46"/>
      <c r="D37" s="47"/>
      <c r="E37" s="46"/>
      <c r="F37" s="46"/>
      <c r="G37" s="46"/>
      <c r="H37" s="22"/>
      <c r="J37" s="62"/>
      <c r="M37" s="75"/>
      <c r="N37" s="75"/>
      <c r="O37" s="71" t="s">
        <v>48</v>
      </c>
      <c r="P37" s="71"/>
      <c r="Q37" s="72">
        <v>0</v>
      </c>
      <c r="R37" s="62"/>
    </row>
    <row r="38" spans="1:20" ht="15" hidden="1" customHeight="1" x14ac:dyDescent="0.25">
      <c r="C38" s="46"/>
      <c r="D38" s="47"/>
      <c r="E38" s="46"/>
      <c r="F38" s="46"/>
      <c r="G38" s="46"/>
      <c r="H38" s="22"/>
      <c r="J38" s="62"/>
      <c r="M38" s="76"/>
      <c r="N38" s="77"/>
      <c r="O38" s="71" t="s">
        <v>49</v>
      </c>
      <c r="P38" s="71"/>
      <c r="Q38" s="78">
        <f ca="1">B28</f>
        <v>334.86645726903407</v>
      </c>
      <c r="R38" s="62"/>
    </row>
    <row r="39" spans="1:20" ht="15" hidden="1" customHeight="1" x14ac:dyDescent="0.25">
      <c r="C39" s="79" t="s">
        <v>42</v>
      </c>
      <c r="D39" s="79"/>
      <c r="E39" s="46"/>
      <c r="F39" s="46"/>
      <c r="G39" s="79" t="s">
        <v>45</v>
      </c>
      <c r="H39" s="79"/>
      <c r="J39" s="62"/>
      <c r="M39" s="62"/>
      <c r="N39" s="80"/>
      <c r="O39" s="81" t="s">
        <v>50</v>
      </c>
      <c r="P39" s="81"/>
      <c r="Q39" s="81">
        <f>B18</f>
        <v>10</v>
      </c>
      <c r="R39" s="62"/>
    </row>
    <row r="40" spans="1:20" ht="15" hidden="1" customHeight="1" x14ac:dyDescent="0.25">
      <c r="C40" s="82">
        <f ca="1">B1</f>
        <v>45726</v>
      </c>
      <c r="D40" s="21">
        <f ca="1">-N18+H23</f>
        <v>-541.91078167160549</v>
      </c>
      <c r="E40" s="46"/>
      <c r="F40" s="46"/>
      <c r="G40" s="82">
        <f ca="1">B1</f>
        <v>45726</v>
      </c>
      <c r="H40" s="21">
        <f ca="1">-J18</f>
        <v>-664.03979273096593</v>
      </c>
      <c r="J40" s="62"/>
      <c r="M40" s="62"/>
      <c r="N40" s="80"/>
      <c r="O40" s="71" t="s">
        <v>51</v>
      </c>
      <c r="P40" s="71"/>
      <c r="Q40" s="83">
        <f ca="1">MIN(A8:A17)</f>
        <v>46082</v>
      </c>
      <c r="R40" s="62"/>
    </row>
    <row r="41" spans="1:20" ht="15" hidden="1" customHeight="1" x14ac:dyDescent="0.25">
      <c r="C41" s="82">
        <f t="shared" ref="C41:C50" ca="1" si="16">A8</f>
        <v>46082</v>
      </c>
      <c r="D41" s="21">
        <f t="shared" ref="D41:D50" si="17">G8</f>
        <v>450</v>
      </c>
      <c r="E41" s="46"/>
      <c r="F41" s="46"/>
      <c r="G41" s="82">
        <f t="shared" ref="G41:G50" ca="1" si="18">A8</f>
        <v>46082</v>
      </c>
      <c r="H41" s="21">
        <f t="shared" ref="H41:H50" si="19">G8</f>
        <v>450</v>
      </c>
      <c r="J41" s="62"/>
      <c r="M41" s="62"/>
      <c r="N41" s="80"/>
      <c r="O41" s="71" t="s">
        <v>52</v>
      </c>
      <c r="P41" s="71"/>
      <c r="Q41" s="84">
        <f ca="1">MAX(A8:A17)</f>
        <v>49369</v>
      </c>
      <c r="R41" s="62"/>
    </row>
    <row r="42" spans="1:20" ht="15" hidden="1" customHeight="1" x14ac:dyDescent="0.25">
      <c r="C42" s="82">
        <f t="shared" ca="1" si="16"/>
        <v>46447</v>
      </c>
      <c r="D42" s="21">
        <f t="shared" si="17"/>
        <v>270</v>
      </c>
      <c r="E42" s="46"/>
      <c r="F42" s="46"/>
      <c r="G42" s="82">
        <f t="shared" ca="1" si="18"/>
        <v>46447</v>
      </c>
      <c r="H42" s="21">
        <f t="shared" si="19"/>
        <v>270</v>
      </c>
      <c r="J42" s="62"/>
      <c r="M42" s="75"/>
      <c r="N42" s="75"/>
      <c r="O42" s="85" t="s">
        <v>53</v>
      </c>
      <c r="P42" s="86"/>
      <c r="Q42" s="87">
        <f>B23</f>
        <v>1.7899999999999999E-2</v>
      </c>
      <c r="R42" s="62"/>
    </row>
    <row r="43" spans="1:20" ht="15" hidden="1" customHeight="1" x14ac:dyDescent="0.25">
      <c r="C43" s="82">
        <f t="shared" ca="1" si="16"/>
        <v>46813</v>
      </c>
      <c r="D43" s="21">
        <f t="shared" si="17"/>
        <v>140</v>
      </c>
      <c r="E43" s="46"/>
      <c r="F43" s="46"/>
      <c r="G43" s="82">
        <f t="shared" ca="1" si="18"/>
        <v>46813</v>
      </c>
      <c r="H43" s="21">
        <f t="shared" si="19"/>
        <v>140</v>
      </c>
      <c r="J43" s="62"/>
      <c r="M43" s="75"/>
      <c r="N43" s="75"/>
      <c r="O43" s="85"/>
      <c r="P43" s="86"/>
      <c r="Q43" s="87">
        <f ca="1">B24</f>
        <v>0.23730000000000001</v>
      </c>
      <c r="R43" s="62"/>
    </row>
    <row r="44" spans="1:20" ht="15" hidden="1" customHeight="1" x14ac:dyDescent="0.25">
      <c r="C44" s="82">
        <f t="shared" ca="1" si="16"/>
        <v>47178</v>
      </c>
      <c r="D44" s="21">
        <f t="shared" si="17"/>
        <v>70</v>
      </c>
      <c r="E44" s="46"/>
      <c r="F44" s="46"/>
      <c r="G44" s="82">
        <f t="shared" ca="1" si="18"/>
        <v>47178</v>
      </c>
      <c r="H44" s="21">
        <f t="shared" si="19"/>
        <v>70</v>
      </c>
      <c r="J44" s="62"/>
      <c r="M44" s="88"/>
      <c r="N44" s="75"/>
      <c r="O44" s="85" t="s">
        <v>54</v>
      </c>
      <c r="P44" s="86"/>
      <c r="Q44" s="89">
        <f ca="1">B29</f>
        <v>2.8140924468449624E-2</v>
      </c>
      <c r="R44" s="62"/>
    </row>
    <row r="45" spans="1:20" ht="15" hidden="1" customHeight="1" x14ac:dyDescent="0.25">
      <c r="C45" s="82">
        <f t="shared" ca="1" si="16"/>
        <v>47543</v>
      </c>
      <c r="D45" s="21">
        <f t="shared" si="17"/>
        <v>35</v>
      </c>
      <c r="E45" s="46"/>
      <c r="F45" s="46"/>
      <c r="G45" s="82">
        <f t="shared" ca="1" si="18"/>
        <v>47543</v>
      </c>
      <c r="H45" s="21">
        <f t="shared" si="19"/>
        <v>35</v>
      </c>
      <c r="J45" s="62"/>
      <c r="M45" s="88"/>
      <c r="N45" s="75"/>
      <c r="O45" s="85"/>
      <c r="P45" s="86"/>
      <c r="Q45" s="89">
        <f ca="1">B30</f>
        <v>0.4017</v>
      </c>
      <c r="R45" s="62"/>
    </row>
    <row r="46" spans="1:20" ht="15" hidden="1" customHeight="1" x14ac:dyDescent="0.25">
      <c r="C46" s="82">
        <f t="shared" ca="1" si="16"/>
        <v>47908</v>
      </c>
      <c r="D46" s="21">
        <f t="shared" si="17"/>
        <v>17.5</v>
      </c>
      <c r="E46" s="46"/>
      <c r="F46" s="46"/>
      <c r="G46" s="82">
        <f t="shared" ca="1" si="18"/>
        <v>47908</v>
      </c>
      <c r="H46" s="21">
        <f t="shared" si="19"/>
        <v>17.5</v>
      </c>
      <c r="J46" s="62"/>
      <c r="M46" s="88"/>
      <c r="N46" s="77"/>
      <c r="O46" s="71" t="s">
        <v>55</v>
      </c>
      <c r="P46" s="71"/>
      <c r="Q46" s="78">
        <f>G18</f>
        <v>998.90625</v>
      </c>
      <c r="R46" s="62"/>
    </row>
    <row r="47" spans="1:20" ht="15" hidden="1" customHeight="1" x14ac:dyDescent="0.25">
      <c r="C47" s="82">
        <f t="shared" ca="1" si="16"/>
        <v>48274</v>
      </c>
      <c r="D47" s="21">
        <f t="shared" si="17"/>
        <v>8.75</v>
      </c>
      <c r="E47" s="46"/>
      <c r="F47" s="46"/>
      <c r="G47" s="82">
        <f t="shared" ca="1" si="18"/>
        <v>48274</v>
      </c>
      <c r="H47" s="21">
        <f t="shared" si="19"/>
        <v>8.75</v>
      </c>
      <c r="J47" s="62"/>
      <c r="M47" s="62"/>
      <c r="N47" s="80"/>
      <c r="O47" s="71" t="s">
        <v>56</v>
      </c>
      <c r="P47" s="71"/>
      <c r="Q47" s="78">
        <f ca="1">N18</f>
        <v>641.91078167160549</v>
      </c>
      <c r="R47" s="62"/>
    </row>
    <row r="48" spans="1:20" ht="15" hidden="1" customHeight="1" x14ac:dyDescent="0.25">
      <c r="C48" s="82">
        <f t="shared" ca="1" si="16"/>
        <v>48639</v>
      </c>
      <c r="D48" s="21">
        <f t="shared" si="17"/>
        <v>4.375</v>
      </c>
      <c r="E48" s="46"/>
      <c r="F48" s="46"/>
      <c r="G48" s="82">
        <f t="shared" ca="1" si="18"/>
        <v>48639</v>
      </c>
      <c r="H48" s="21">
        <f t="shared" si="19"/>
        <v>4.375</v>
      </c>
      <c r="J48" s="62"/>
      <c r="M48" s="62"/>
      <c r="N48" s="62"/>
      <c r="O48" s="62"/>
      <c r="P48" s="62"/>
      <c r="Q48" s="62"/>
      <c r="R48" s="62"/>
    </row>
    <row r="49" spans="3:18" ht="15" hidden="1" customHeight="1" x14ac:dyDescent="0.25">
      <c r="C49" s="82">
        <f t="shared" ca="1" si="16"/>
        <v>49004</v>
      </c>
      <c r="D49" s="21">
        <f t="shared" si="17"/>
        <v>2.1875</v>
      </c>
      <c r="E49" s="46"/>
      <c r="F49" s="46"/>
      <c r="G49" s="82">
        <f t="shared" ca="1" si="18"/>
        <v>49004</v>
      </c>
      <c r="H49" s="21">
        <f t="shared" si="19"/>
        <v>2.1875</v>
      </c>
      <c r="J49" s="62"/>
      <c r="K49" s="88"/>
      <c r="L49" s="88"/>
      <c r="M49" s="75"/>
      <c r="N49" s="75"/>
      <c r="O49" s="62"/>
      <c r="P49" s="62"/>
      <c r="Q49" s="62"/>
      <c r="R49" s="62"/>
    </row>
    <row r="50" spans="3:18" ht="15" hidden="1" customHeight="1" x14ac:dyDescent="0.25">
      <c r="C50" s="82">
        <f t="shared" ca="1" si="16"/>
        <v>49369</v>
      </c>
      <c r="D50" s="21">
        <f t="shared" si="17"/>
        <v>1.09375</v>
      </c>
      <c r="E50" s="46"/>
      <c r="F50" s="46"/>
      <c r="G50" s="82">
        <f t="shared" ca="1" si="18"/>
        <v>49369</v>
      </c>
      <c r="H50" s="21">
        <f t="shared" si="19"/>
        <v>1.09375</v>
      </c>
      <c r="J50" s="62"/>
      <c r="L50" s="62"/>
      <c r="M50" s="75"/>
      <c r="N50" s="75"/>
      <c r="O50" s="62"/>
      <c r="P50" s="62"/>
      <c r="Q50" s="62"/>
      <c r="R50" s="62"/>
    </row>
    <row r="51" spans="3:18" ht="15" hidden="1" customHeight="1" x14ac:dyDescent="0.25">
      <c r="C51" s="46"/>
      <c r="D51" s="47"/>
      <c r="E51" s="46"/>
      <c r="F51" s="46"/>
      <c r="G51" s="46"/>
      <c r="H51" s="22"/>
      <c r="J51" s="62"/>
      <c r="K51" s="75"/>
      <c r="L51" s="62"/>
      <c r="M51" s="75"/>
      <c r="N51" s="88"/>
      <c r="O51" s="62"/>
      <c r="P51" s="62"/>
      <c r="Q51" s="62"/>
      <c r="R51" s="62"/>
    </row>
    <row r="52" spans="3:18" ht="15" hidden="1" customHeight="1" x14ac:dyDescent="0.25">
      <c r="C52" s="46"/>
      <c r="D52" s="47"/>
      <c r="E52" s="46"/>
      <c r="F52" s="46"/>
      <c r="G52" s="46"/>
      <c r="H52" s="22"/>
      <c r="J52" s="62"/>
      <c r="K52" s="62"/>
      <c r="L52" s="62"/>
      <c r="M52" s="62"/>
      <c r="N52" s="62"/>
      <c r="O52" s="62"/>
      <c r="P52" s="62"/>
      <c r="Q52" s="62"/>
      <c r="R52" s="62"/>
    </row>
    <row r="53" spans="3:18" ht="15" hidden="1" customHeight="1" x14ac:dyDescent="0.25">
      <c r="C53" s="46"/>
      <c r="D53" s="47"/>
      <c r="E53" s="46"/>
      <c r="F53" s="46"/>
      <c r="G53" s="46"/>
      <c r="H53" s="22"/>
      <c r="J53" s="62"/>
      <c r="K53" s="62"/>
      <c r="L53" s="62"/>
      <c r="M53" s="62"/>
      <c r="N53" s="62"/>
      <c r="O53" s="62"/>
      <c r="P53" s="62"/>
      <c r="Q53" s="62"/>
      <c r="R53" s="62"/>
    </row>
    <row r="54" spans="3:18" ht="15" hidden="1" customHeight="1" x14ac:dyDescent="0.25">
      <c r="C54" s="46"/>
      <c r="D54" s="47"/>
      <c r="E54" s="46"/>
      <c r="F54" s="46"/>
      <c r="G54" s="46"/>
      <c r="H54" s="22"/>
      <c r="J54" s="62"/>
      <c r="K54" s="62"/>
      <c r="L54" s="62"/>
      <c r="M54" s="62"/>
      <c r="N54" s="62"/>
      <c r="O54" s="62"/>
      <c r="P54" s="62"/>
      <c r="Q54" s="62"/>
      <c r="R54" s="62"/>
    </row>
    <row r="55" spans="3:18" ht="15" hidden="1" customHeight="1" x14ac:dyDescent="0.25">
      <c r="C55" s="46"/>
      <c r="D55" s="47"/>
      <c r="E55" s="46"/>
      <c r="F55" s="46"/>
      <c r="G55" s="46"/>
      <c r="H55" s="22"/>
      <c r="J55" s="62"/>
      <c r="K55" s="62"/>
      <c r="L55" s="62"/>
      <c r="M55" s="62"/>
      <c r="N55" s="62"/>
      <c r="O55" s="62"/>
      <c r="P55" s="62"/>
      <c r="Q55" s="62"/>
      <c r="R55" s="62"/>
    </row>
    <row r="56" spans="3:18" ht="15" hidden="1" customHeight="1" x14ac:dyDescent="0.25">
      <c r="C56" s="46"/>
      <c r="D56" s="47"/>
      <c r="E56" s="46"/>
      <c r="F56" s="46"/>
      <c r="G56" s="46"/>
      <c r="H56" s="22"/>
      <c r="J56" s="62"/>
      <c r="K56" s="62"/>
      <c r="L56" s="62"/>
      <c r="M56" s="62"/>
      <c r="N56" s="62"/>
      <c r="O56" s="62"/>
      <c r="P56" s="62"/>
      <c r="Q56" s="62"/>
      <c r="R56" s="62"/>
    </row>
    <row r="57" spans="3:18" ht="15" hidden="1" customHeight="1" x14ac:dyDescent="0.25">
      <c r="C57" s="46"/>
      <c r="D57" s="47"/>
      <c r="E57" s="46"/>
      <c r="F57" s="46"/>
      <c r="G57" s="46"/>
      <c r="H57" s="22"/>
      <c r="J57" s="62"/>
      <c r="K57" s="62"/>
      <c r="L57" s="62"/>
      <c r="M57" s="62"/>
      <c r="N57" s="62"/>
      <c r="O57" s="62"/>
      <c r="P57" s="62"/>
      <c r="Q57" s="62"/>
      <c r="R57" s="62"/>
    </row>
    <row r="58" spans="3:18" ht="15" hidden="1" customHeight="1" x14ac:dyDescent="0.25">
      <c r="C58" s="46"/>
      <c r="D58" s="47"/>
      <c r="E58" s="46"/>
      <c r="F58" s="46"/>
      <c r="G58" s="46"/>
      <c r="H58" s="22"/>
      <c r="J58" s="62"/>
      <c r="M58" s="62"/>
      <c r="N58" s="62"/>
      <c r="O58" s="62"/>
      <c r="P58" s="62"/>
      <c r="Q58" s="62"/>
      <c r="R58" s="62"/>
    </row>
    <row r="59" spans="3:18" ht="15" hidden="1" customHeight="1" x14ac:dyDescent="0.25">
      <c r="C59" s="46"/>
      <c r="D59" s="47"/>
      <c r="E59" s="46"/>
      <c r="F59" s="46"/>
      <c r="G59" s="46"/>
      <c r="H59" s="22"/>
      <c r="J59" s="62"/>
      <c r="M59" s="62"/>
      <c r="N59" s="62"/>
    </row>
    <row r="60" spans="3:18" ht="15" hidden="1" customHeight="1" x14ac:dyDescent="0.25">
      <c r="C60" s="46"/>
      <c r="D60" s="47"/>
      <c r="E60" s="46"/>
      <c r="F60" s="46"/>
      <c r="G60" s="46"/>
      <c r="H60" s="22"/>
    </row>
    <row r="61" spans="3:18" ht="15" hidden="1" customHeight="1" x14ac:dyDescent="0.25">
      <c r="C61" s="46"/>
      <c r="D61" s="47"/>
      <c r="E61" s="46"/>
      <c r="F61" s="46"/>
      <c r="G61" s="46"/>
      <c r="H61" s="22"/>
    </row>
    <row r="62" spans="3:18" ht="15" hidden="1" customHeight="1" x14ac:dyDescent="0.25">
      <c r="C62" s="46"/>
      <c r="D62" s="47"/>
      <c r="E62" s="46"/>
      <c r="F62" s="46"/>
      <c r="G62" s="46"/>
      <c r="H62" s="22"/>
    </row>
    <row r="63" spans="3:18" ht="15" hidden="1" customHeight="1" x14ac:dyDescent="0.25">
      <c r="C63" s="46"/>
      <c r="D63" s="47"/>
      <c r="E63" s="46"/>
      <c r="F63" s="46"/>
      <c r="G63" s="46"/>
      <c r="H63" s="22"/>
    </row>
    <row r="64" spans="3:18" ht="15" hidden="1" customHeight="1" x14ac:dyDescent="0.25">
      <c r="C64" s="46"/>
      <c r="D64" s="47"/>
      <c r="E64" s="46"/>
      <c r="F64" s="46"/>
      <c r="G64" s="46"/>
      <c r="H64" s="22"/>
    </row>
    <row r="65" spans="3:8" ht="15" hidden="1" customHeight="1" x14ac:dyDescent="0.25">
      <c r="C65" s="46"/>
      <c r="D65" s="47"/>
      <c r="E65" s="46"/>
      <c r="F65" s="46"/>
      <c r="G65" s="46"/>
      <c r="H65" s="22"/>
    </row>
    <row r="66" spans="3:8" ht="15" hidden="1" customHeight="1" x14ac:dyDescent="0.25">
      <c r="C66" s="46"/>
      <c r="D66" s="47"/>
      <c r="E66" s="46"/>
      <c r="F66" s="46"/>
      <c r="G66" s="46"/>
      <c r="H66" s="22"/>
    </row>
    <row r="67" spans="3:8" ht="15" hidden="1" customHeight="1" x14ac:dyDescent="0.25">
      <c r="C67" s="46"/>
      <c r="D67" s="47"/>
      <c r="E67" s="46"/>
      <c r="F67" s="46"/>
      <c r="G67" s="46"/>
      <c r="H67" s="22"/>
    </row>
    <row r="68" spans="3:8" ht="15" hidden="1" customHeight="1" x14ac:dyDescent="0.25">
      <c r="C68" s="46"/>
      <c r="D68" s="47"/>
      <c r="E68" s="46"/>
      <c r="F68" s="46"/>
      <c r="G68" s="46"/>
      <c r="H68" s="22"/>
    </row>
    <row r="69" spans="3:8" ht="15" hidden="1" customHeight="1" x14ac:dyDescent="0.25">
      <c r="C69" s="46"/>
      <c r="D69" s="47"/>
      <c r="E69" s="46"/>
      <c r="F69" s="46"/>
      <c r="G69" s="46"/>
      <c r="H69" s="22"/>
    </row>
    <row r="70" spans="3:8" ht="15" hidden="1" customHeight="1" x14ac:dyDescent="0.25">
      <c r="C70" s="46"/>
      <c r="D70" s="47"/>
      <c r="E70" s="46"/>
      <c r="F70" s="46"/>
      <c r="G70" s="46"/>
      <c r="H70" s="22"/>
    </row>
    <row r="71" spans="3:8" ht="15" hidden="1" customHeight="1" x14ac:dyDescent="0.25">
      <c r="C71" s="46"/>
      <c r="D71" s="47"/>
      <c r="E71" s="46"/>
      <c r="F71" s="46"/>
      <c r="G71" s="46"/>
      <c r="H71" s="22"/>
    </row>
    <row r="72" spans="3:8" ht="15" hidden="1" customHeight="1" x14ac:dyDescent="0.25">
      <c r="C72" s="46"/>
      <c r="D72" s="47"/>
      <c r="E72" s="46"/>
      <c r="F72" s="46"/>
      <c r="G72" s="46"/>
      <c r="H72" s="22"/>
    </row>
    <row r="73" spans="3:8" ht="15" hidden="1" customHeight="1" x14ac:dyDescent="0.25">
      <c r="C73" s="46"/>
      <c r="D73" s="47"/>
      <c r="E73" s="46"/>
      <c r="F73" s="46"/>
      <c r="G73" s="46"/>
      <c r="H73" s="22"/>
    </row>
    <row r="74" spans="3:8" ht="15" hidden="1" customHeight="1" x14ac:dyDescent="0.25">
      <c r="C74" s="46"/>
      <c r="D74" s="47"/>
      <c r="E74" s="46"/>
      <c r="F74" s="46"/>
      <c r="G74" s="46"/>
      <c r="H74" s="22"/>
    </row>
    <row r="75" spans="3:8" ht="15" hidden="1" customHeight="1" x14ac:dyDescent="0.25">
      <c r="C75" s="46"/>
      <c r="D75" s="47"/>
      <c r="E75" s="46"/>
      <c r="F75" s="46"/>
      <c r="G75" s="46"/>
      <c r="H75" s="22"/>
    </row>
    <row r="76" spans="3:8" ht="15" hidden="1" customHeight="1" x14ac:dyDescent="0.25">
      <c r="C76" s="46"/>
      <c r="D76" s="47"/>
      <c r="E76" s="46"/>
      <c r="F76" s="46"/>
      <c r="G76" s="46"/>
      <c r="H76" s="22"/>
    </row>
    <row r="77" spans="3:8" ht="15" hidden="1" customHeight="1" x14ac:dyDescent="0.25">
      <c r="C77" s="46"/>
      <c r="D77" s="47"/>
      <c r="E77" s="46"/>
      <c r="F77" s="46"/>
      <c r="G77" s="46"/>
      <c r="H77" s="22"/>
    </row>
    <row r="78" spans="3:8" ht="15" hidden="1" customHeight="1" x14ac:dyDescent="0.25">
      <c r="C78" s="46"/>
      <c r="D78" s="47"/>
      <c r="E78" s="46"/>
      <c r="F78" s="46"/>
      <c r="G78" s="46"/>
      <c r="H78" s="22"/>
    </row>
    <row r="79" spans="3:8" ht="15" hidden="1" customHeight="1" x14ac:dyDescent="0.25">
      <c r="C79" s="46"/>
      <c r="D79" s="47"/>
      <c r="E79" s="46"/>
      <c r="F79" s="46"/>
      <c r="G79" s="46"/>
      <c r="H79" s="22"/>
    </row>
    <row r="80" spans="3:8" ht="15" hidden="1" customHeight="1" x14ac:dyDescent="0.25">
      <c r="C80" s="46"/>
      <c r="D80" s="47"/>
      <c r="E80" s="46"/>
      <c r="F80" s="46"/>
      <c r="G80" s="46"/>
      <c r="H80" s="22"/>
    </row>
    <row r="81" spans="3:8" ht="15" hidden="1" customHeight="1" x14ac:dyDescent="0.25">
      <c r="C81" s="46"/>
      <c r="D81" s="47"/>
      <c r="E81" s="46"/>
      <c r="F81" s="46"/>
      <c r="G81" s="46"/>
      <c r="H81" s="22"/>
    </row>
    <row r="82" spans="3:8" ht="15" hidden="1" customHeight="1" x14ac:dyDescent="0.25">
      <c r="C82" s="46"/>
      <c r="D82" s="47"/>
      <c r="E82" s="46"/>
      <c r="F82" s="46"/>
      <c r="G82" s="46"/>
      <c r="H82" s="22"/>
    </row>
    <row r="83" spans="3:8" ht="15" hidden="1" customHeight="1" x14ac:dyDescent="0.25">
      <c r="C83" s="46"/>
      <c r="D83" s="47"/>
      <c r="E83" s="46"/>
      <c r="F83" s="46"/>
      <c r="G83" s="46"/>
      <c r="H83" s="22"/>
    </row>
    <row r="84" spans="3:8" ht="15" hidden="1" customHeight="1" x14ac:dyDescent="0.25">
      <c r="C84" s="46"/>
      <c r="D84" s="47"/>
      <c r="E84" s="46"/>
      <c r="F84" s="46"/>
      <c r="G84" s="46"/>
      <c r="H84" s="22"/>
    </row>
    <row r="85" spans="3:8" ht="15" hidden="1" customHeight="1" x14ac:dyDescent="0.25">
      <c r="C85" s="46"/>
      <c r="D85" s="47"/>
      <c r="E85" s="46"/>
      <c r="F85" s="46"/>
      <c r="G85" s="46"/>
      <c r="H85" s="22"/>
    </row>
    <row r="86" spans="3:8" ht="15" hidden="1" customHeight="1" x14ac:dyDescent="0.25">
      <c r="C86" s="46"/>
      <c r="D86" s="47"/>
      <c r="E86" s="46"/>
      <c r="F86" s="46"/>
      <c r="G86" s="46"/>
      <c r="H86" s="22"/>
    </row>
    <row r="87" spans="3:8" ht="15" hidden="1" customHeight="1" x14ac:dyDescent="0.25">
      <c r="C87" s="46"/>
      <c r="D87" s="47"/>
      <c r="E87" s="46"/>
      <c r="F87" s="46"/>
      <c r="G87" s="46"/>
      <c r="H87" s="22"/>
    </row>
    <row r="88" spans="3:8" ht="15" hidden="1" customHeight="1" x14ac:dyDescent="0.25">
      <c r="C88" s="46"/>
      <c r="D88" s="47"/>
      <c r="E88" s="46"/>
      <c r="F88" s="46"/>
      <c r="G88" s="46"/>
      <c r="H88" s="22"/>
    </row>
    <row r="89" spans="3:8" hidden="1" x14ac:dyDescent="0.25">
      <c r="C89" s="46"/>
      <c r="D89" s="47"/>
      <c r="E89" s="46"/>
      <c r="F89" s="46"/>
      <c r="G89" s="46"/>
      <c r="H89" s="22"/>
    </row>
    <row r="90" spans="3:8" hidden="1" x14ac:dyDescent="0.25">
      <c r="C90" s="46"/>
      <c r="D90" s="47"/>
      <c r="E90" s="46"/>
      <c r="F90" s="46"/>
      <c r="G90" s="46"/>
      <c r="H90" s="22"/>
    </row>
    <row r="91" spans="3:8" hidden="1" x14ac:dyDescent="0.25">
      <c r="C91" s="46"/>
      <c r="D91" s="47"/>
      <c r="E91" s="46"/>
      <c r="F91" s="46"/>
      <c r="G91" s="46"/>
      <c r="H91" s="22"/>
    </row>
    <row r="92" spans="3:8" hidden="1" x14ac:dyDescent="0.25">
      <c r="C92" s="46"/>
      <c r="D92" s="47"/>
      <c r="E92" s="46"/>
      <c r="F92" s="46"/>
      <c r="G92" s="46"/>
      <c r="H92" s="22"/>
    </row>
    <row r="93" spans="3:8" hidden="1" x14ac:dyDescent="0.25">
      <c r="C93" s="46"/>
      <c r="D93" s="47"/>
      <c r="E93" s="46"/>
      <c r="F93" s="46"/>
      <c r="G93" s="46"/>
      <c r="H93" s="22"/>
    </row>
    <row r="94" spans="3:8" hidden="1" x14ac:dyDescent="0.25">
      <c r="C94" s="46"/>
      <c r="D94" s="47"/>
      <c r="E94" s="46"/>
      <c r="F94" s="46"/>
      <c r="G94" s="46"/>
      <c r="H94" s="22"/>
    </row>
    <row r="95" spans="3:8" hidden="1" x14ac:dyDescent="0.25">
      <c r="C95" s="46"/>
      <c r="D95" s="47"/>
      <c r="E95" s="46"/>
      <c r="F95" s="46"/>
      <c r="G95" s="46"/>
      <c r="H95" s="22"/>
    </row>
    <row r="96" spans="3:8" hidden="1" x14ac:dyDescent="0.25">
      <c r="C96" s="46"/>
      <c r="D96" s="47"/>
      <c r="E96" s="46"/>
      <c r="F96" s="46"/>
      <c r="G96" s="46"/>
      <c r="H96" s="22"/>
    </row>
    <row r="97" spans="3:8" hidden="1" x14ac:dyDescent="0.25">
      <c r="C97" s="46"/>
      <c r="D97" s="47"/>
      <c r="E97" s="46"/>
      <c r="F97" s="46"/>
      <c r="G97" s="46"/>
      <c r="H97" s="22"/>
    </row>
    <row r="98" spans="3:8" hidden="1" x14ac:dyDescent="0.25">
      <c r="C98" s="46"/>
      <c r="D98" s="47"/>
      <c r="E98" s="46"/>
      <c r="F98" s="46"/>
      <c r="G98" s="46"/>
      <c r="H98" s="22"/>
    </row>
    <row r="99" spans="3:8" hidden="1" x14ac:dyDescent="0.25">
      <c r="C99" s="46"/>
      <c r="D99" s="47"/>
      <c r="E99" s="46"/>
      <c r="F99" s="46"/>
      <c r="G99" s="46"/>
      <c r="H99" s="22"/>
    </row>
    <row r="100" spans="3:8" hidden="1" x14ac:dyDescent="0.25">
      <c r="C100" s="46"/>
      <c r="D100" s="47"/>
      <c r="E100" s="46"/>
      <c r="F100" s="46"/>
      <c r="G100" s="46"/>
      <c r="H100" s="22"/>
    </row>
    <row r="101" spans="3:8" hidden="1" x14ac:dyDescent="0.25">
      <c r="C101" s="46"/>
      <c r="D101" s="47"/>
      <c r="E101" s="46"/>
      <c r="F101" s="46"/>
      <c r="G101" s="46"/>
      <c r="H101" s="22"/>
    </row>
    <row r="102" spans="3:8" x14ac:dyDescent="0.25">
      <c r="C102" s="46"/>
      <c r="D102" s="47"/>
      <c r="E102" s="46"/>
      <c r="F102" s="46"/>
      <c r="G102" s="46"/>
      <c r="H102" s="22"/>
    </row>
    <row r="103" spans="3:8" x14ac:dyDescent="0.25">
      <c r="C103" s="46"/>
      <c r="D103" s="47"/>
      <c r="E103" s="46"/>
      <c r="F103" s="46"/>
      <c r="G103" s="46"/>
      <c r="H103" s="22"/>
    </row>
    <row r="104" spans="3:8" x14ac:dyDescent="0.25">
      <c r="C104" s="46"/>
      <c r="D104" s="47"/>
      <c r="E104" s="46"/>
      <c r="F104" s="46"/>
      <c r="G104" s="46"/>
      <c r="H104" s="22"/>
    </row>
    <row r="105" spans="3:8" x14ac:dyDescent="0.25">
      <c r="C105" s="46"/>
      <c r="D105" s="47"/>
      <c r="E105" s="46"/>
      <c r="F105" s="46"/>
      <c r="G105" s="46"/>
      <c r="H105" s="22"/>
    </row>
    <row r="106" spans="3:8" x14ac:dyDescent="0.25">
      <c r="C106" s="46"/>
      <c r="D106" s="47"/>
      <c r="E106" s="46"/>
      <c r="F106" s="46"/>
      <c r="G106" s="46"/>
      <c r="H106" s="22"/>
    </row>
    <row r="107" spans="3:8" x14ac:dyDescent="0.25">
      <c r="C107" s="46"/>
      <c r="D107" s="47"/>
      <c r="E107" s="46"/>
      <c r="F107" s="46"/>
      <c r="G107" s="46"/>
      <c r="H107" s="22"/>
    </row>
    <row r="108" spans="3:8" x14ac:dyDescent="0.25">
      <c r="C108" s="46"/>
      <c r="D108" s="47"/>
      <c r="E108" s="46"/>
      <c r="F108" s="46"/>
      <c r="G108" s="46"/>
      <c r="H108" s="22"/>
    </row>
    <row r="109" spans="3:8" x14ac:dyDescent="0.25">
      <c r="C109" s="46"/>
      <c r="D109" s="47"/>
      <c r="E109" s="46"/>
      <c r="F109" s="46"/>
      <c r="G109" s="46"/>
      <c r="H109" s="22"/>
    </row>
    <row r="110" spans="3:8" x14ac:dyDescent="0.25">
      <c r="C110" s="46"/>
      <c r="D110" s="47"/>
      <c r="E110" s="46"/>
      <c r="F110" s="46"/>
      <c r="G110" s="46"/>
      <c r="H110" s="22"/>
    </row>
    <row r="111" spans="3:8" x14ac:dyDescent="0.25">
      <c r="C111" s="46"/>
      <c r="D111" s="47"/>
      <c r="E111" s="46"/>
      <c r="F111" s="46"/>
      <c r="G111" s="46"/>
      <c r="H111" s="22"/>
    </row>
    <row r="112" spans="3:8" x14ac:dyDescent="0.25">
      <c r="C112" s="46"/>
      <c r="D112" s="47"/>
      <c r="E112" s="46"/>
      <c r="F112" s="46"/>
      <c r="G112" s="46"/>
      <c r="H112" s="22"/>
    </row>
    <row r="113" spans="3:8" x14ac:dyDescent="0.25">
      <c r="C113" s="46"/>
      <c r="D113" s="47"/>
      <c r="E113" s="46"/>
      <c r="F113" s="46"/>
      <c r="G113" s="46"/>
      <c r="H113" s="22"/>
    </row>
    <row r="114" spans="3:8" x14ac:dyDescent="0.25">
      <c r="C114" s="46"/>
      <c r="D114" s="47"/>
      <c r="E114" s="46"/>
      <c r="F114" s="46"/>
      <c r="G114" s="46"/>
      <c r="H114" s="22"/>
    </row>
    <row r="115" spans="3:8" x14ac:dyDescent="0.25">
      <c r="C115" s="46"/>
      <c r="D115" s="47"/>
      <c r="E115" s="46"/>
      <c r="F115" s="46"/>
      <c r="G115" s="46"/>
      <c r="H115" s="22"/>
    </row>
    <row r="116" spans="3:8" x14ac:dyDescent="0.25">
      <c r="C116" s="46"/>
      <c r="D116" s="47"/>
      <c r="E116" s="46"/>
      <c r="F116" s="46"/>
      <c r="G116" s="46"/>
      <c r="H116" s="22"/>
    </row>
    <row r="117" spans="3:8" x14ac:dyDescent="0.25">
      <c r="C117" s="46"/>
      <c r="D117" s="47"/>
      <c r="E117" s="46"/>
      <c r="F117" s="46"/>
      <c r="G117" s="46"/>
      <c r="H117" s="22"/>
    </row>
    <row r="118" spans="3:8" x14ac:dyDescent="0.25">
      <c r="C118" s="46"/>
      <c r="D118" s="47"/>
      <c r="E118" s="46"/>
      <c r="F118" s="46"/>
      <c r="G118" s="46"/>
      <c r="H118" s="22"/>
    </row>
    <row r="119" spans="3:8" x14ac:dyDescent="0.25">
      <c r="C119" s="46"/>
      <c r="D119" s="47"/>
      <c r="E119" s="46"/>
      <c r="F119" s="46"/>
      <c r="G119" s="46"/>
      <c r="H119" s="22"/>
    </row>
    <row r="120" spans="3:8" x14ac:dyDescent="0.25">
      <c r="C120" s="46"/>
      <c r="D120" s="47"/>
      <c r="E120" s="46"/>
      <c r="F120" s="46"/>
      <c r="G120" s="46"/>
      <c r="H120" s="22"/>
    </row>
    <row r="121" spans="3:8" x14ac:dyDescent="0.25">
      <c r="C121" s="46"/>
      <c r="D121" s="47"/>
      <c r="E121" s="46"/>
      <c r="F121" s="46"/>
      <c r="G121" s="46"/>
      <c r="H121" s="22"/>
    </row>
    <row r="122" spans="3:8" x14ac:dyDescent="0.25">
      <c r="C122" s="46"/>
      <c r="D122" s="47"/>
      <c r="E122" s="46"/>
      <c r="F122" s="46"/>
      <c r="G122" s="46"/>
      <c r="H122" s="22"/>
    </row>
    <row r="123" spans="3:8" x14ac:dyDescent="0.25">
      <c r="C123" s="46"/>
      <c r="D123" s="47"/>
      <c r="E123" s="46"/>
      <c r="F123" s="46"/>
      <c r="G123" s="46"/>
      <c r="H123" s="22"/>
    </row>
    <row r="124" spans="3:8" x14ac:dyDescent="0.25">
      <c r="C124" s="46"/>
      <c r="D124" s="47"/>
      <c r="E124" s="46"/>
      <c r="F124" s="46"/>
      <c r="G124" s="46"/>
      <c r="H124" s="22"/>
    </row>
    <row r="125" spans="3:8" x14ac:dyDescent="0.25">
      <c r="C125" s="46"/>
      <c r="D125" s="47"/>
      <c r="E125" s="46"/>
      <c r="F125" s="46"/>
      <c r="G125" s="46"/>
      <c r="H125" s="22"/>
    </row>
    <row r="126" spans="3:8" x14ac:dyDescent="0.25">
      <c r="C126" s="46"/>
      <c r="D126" s="47"/>
      <c r="E126" s="46"/>
      <c r="F126" s="46"/>
      <c r="G126" s="46"/>
      <c r="H126" s="22"/>
    </row>
    <row r="127" spans="3:8" x14ac:dyDescent="0.25">
      <c r="C127" s="46"/>
      <c r="D127" s="47"/>
      <c r="E127" s="46"/>
      <c r="F127" s="46"/>
      <c r="G127" s="46"/>
      <c r="H127" s="22"/>
    </row>
    <row r="128" spans="3:8" x14ac:dyDescent="0.25">
      <c r="C128" s="46"/>
      <c r="D128" s="47"/>
      <c r="E128" s="46"/>
      <c r="F128" s="46"/>
      <c r="G128" s="46"/>
      <c r="H128" s="22"/>
    </row>
    <row r="129" spans="3:8" x14ac:dyDescent="0.25">
      <c r="C129" s="46"/>
      <c r="D129" s="47"/>
      <c r="E129" s="46"/>
      <c r="F129" s="46"/>
      <c r="G129" s="46"/>
      <c r="H129" s="22"/>
    </row>
    <row r="130" spans="3:8" x14ac:dyDescent="0.25">
      <c r="C130" s="46"/>
      <c r="D130" s="47"/>
      <c r="E130" s="46"/>
      <c r="F130" s="46"/>
      <c r="G130" s="46"/>
      <c r="H130" s="22"/>
    </row>
    <row r="131" spans="3:8" x14ac:dyDescent="0.25">
      <c r="C131" s="46"/>
      <c r="D131" s="47"/>
      <c r="E131" s="46"/>
      <c r="F131" s="46"/>
      <c r="G131" s="46"/>
      <c r="H131" s="22"/>
    </row>
    <row r="132" spans="3:8" x14ac:dyDescent="0.25">
      <c r="C132" s="46"/>
      <c r="D132" s="47"/>
      <c r="E132" s="46"/>
      <c r="F132" s="46"/>
      <c r="G132" s="46"/>
      <c r="H132" s="22"/>
    </row>
    <row r="133" spans="3:8" x14ac:dyDescent="0.25">
      <c r="C133" s="46" t="str">
        <f t="shared" ref="C133:C138" si="20">IF(H132&lt;0.01,"",H132)</f>
        <v/>
      </c>
      <c r="D133" s="47" t="str">
        <f t="shared" ref="D133:D138" si="21">IF(C133="","",IF(C133&gt;20000,5%,IF(C133&gt;15000,10%,IF(C133&gt;10000,15%,IF(C133&gt;5000,20%,IF(C133&gt;1000,30%,IF(C133&gt;500,40%,50%)))))))</f>
        <v/>
      </c>
      <c r="E133" s="46" t="str">
        <f t="shared" ref="E133:E138" si="22">IF(D133="","",C133*D133)</f>
        <v/>
      </c>
      <c r="F133" s="46" t="str">
        <f t="shared" ref="F133:F138" si="23">IF(C133="","",IF(C133&gt;20000,2900,IF(C133&gt;15000,1900,IF(C133&gt;10000,1150,IF(C133&gt;5000,650,IF(C133&gt;1000,150,IF(C133&gt;500,50,0)))))))</f>
        <v/>
      </c>
      <c r="G133" s="46" t="str">
        <f t="shared" ref="G133:G138" si="24">IF(C133="","",F133+E133)</f>
        <v/>
      </c>
      <c r="H133" s="22" t="str">
        <f t="shared" ref="H133:H138" si="25">IF(C133="","",C133-G133)</f>
        <v/>
      </c>
    </row>
    <row r="134" spans="3:8" x14ac:dyDescent="0.25">
      <c r="C134" s="46" t="str">
        <f t="shared" si="20"/>
        <v/>
      </c>
      <c r="D134" s="47" t="str">
        <f t="shared" si="21"/>
        <v/>
      </c>
      <c r="E134" s="46" t="str">
        <f t="shared" si="22"/>
        <v/>
      </c>
      <c r="F134" s="46" t="str">
        <f t="shared" si="23"/>
        <v/>
      </c>
      <c r="G134" s="46" t="str">
        <f t="shared" si="24"/>
        <v/>
      </c>
      <c r="H134" s="22" t="str">
        <f t="shared" si="25"/>
        <v/>
      </c>
    </row>
    <row r="135" spans="3:8" x14ac:dyDescent="0.25">
      <c r="C135" s="46" t="str">
        <f t="shared" si="20"/>
        <v/>
      </c>
      <c r="D135" s="47" t="str">
        <f t="shared" si="21"/>
        <v/>
      </c>
      <c r="E135" s="46" t="str">
        <f t="shared" si="22"/>
        <v/>
      </c>
      <c r="F135" s="46" t="str">
        <f t="shared" si="23"/>
        <v/>
      </c>
      <c r="G135" s="46" t="str">
        <f t="shared" si="24"/>
        <v/>
      </c>
      <c r="H135" s="22" t="str">
        <f t="shared" si="25"/>
        <v/>
      </c>
    </row>
    <row r="136" spans="3:8" x14ac:dyDescent="0.25">
      <c r="C136" s="46" t="str">
        <f t="shared" si="20"/>
        <v/>
      </c>
      <c r="D136" s="47" t="str">
        <f t="shared" si="21"/>
        <v/>
      </c>
      <c r="E136" s="46" t="str">
        <f t="shared" si="22"/>
        <v/>
      </c>
      <c r="F136" s="46" t="str">
        <f t="shared" si="23"/>
        <v/>
      </c>
      <c r="G136" s="46" t="str">
        <f t="shared" si="24"/>
        <v/>
      </c>
      <c r="H136" s="22" t="str">
        <f t="shared" si="25"/>
        <v/>
      </c>
    </row>
    <row r="137" spans="3:8" x14ac:dyDescent="0.25">
      <c r="C137" s="46" t="str">
        <f t="shared" si="20"/>
        <v/>
      </c>
      <c r="D137" s="47" t="str">
        <f t="shared" si="21"/>
        <v/>
      </c>
      <c r="E137" s="46" t="str">
        <f t="shared" si="22"/>
        <v/>
      </c>
      <c r="F137" s="46" t="str">
        <f t="shared" si="23"/>
        <v/>
      </c>
      <c r="G137" s="46" t="str">
        <f t="shared" si="24"/>
        <v/>
      </c>
      <c r="H137" s="22" t="str">
        <f t="shared" si="25"/>
        <v/>
      </c>
    </row>
    <row r="138" spans="3:8" x14ac:dyDescent="0.25">
      <c r="C138" s="46" t="str">
        <f t="shared" si="20"/>
        <v/>
      </c>
      <c r="D138" s="47" t="str">
        <f t="shared" si="21"/>
        <v/>
      </c>
      <c r="E138" s="46" t="str">
        <f t="shared" si="22"/>
        <v/>
      </c>
      <c r="F138" s="46" t="str">
        <f t="shared" si="23"/>
        <v/>
      </c>
      <c r="G138" s="46" t="str">
        <f t="shared" si="24"/>
        <v/>
      </c>
      <c r="H138" s="22" t="str">
        <f t="shared" si="25"/>
        <v/>
      </c>
    </row>
  </sheetData>
  <sheetProtection algorithmName="SHA-512" hashValue="IK2hwlJDOyrXnTlylh5tc8hIiuvmJUUAhngZhoRg7P8YDb4oMURjBi8HCkoU9gkqRNY7zaI44q//+eVSv4CV3g==" saltValue="vBegv+ZPcR4b1q2Cos02oQ==" spinCount="100000" sheet="1" objects="1" scenarios="1"/>
  <mergeCells count="9">
    <mergeCell ref="O42:O43"/>
    <mergeCell ref="O44:O45"/>
    <mergeCell ref="Q15:Q17"/>
    <mergeCell ref="R15:R17"/>
    <mergeCell ref="A32:A34"/>
    <mergeCell ref="B35:B36"/>
    <mergeCell ref="F35:F36"/>
    <mergeCell ref="C39:D39"/>
    <mergeCell ref="G39:H3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entrada de dados</vt:lpstr>
      <vt:lpstr>simulador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oc0005</dc:creator>
  <cp:lastModifiedBy>oc0005</cp:lastModifiedBy>
  <dcterms:created xsi:type="dcterms:W3CDTF">2025-03-10T19:38:22Z</dcterms:created>
  <dcterms:modified xsi:type="dcterms:W3CDTF">2025-03-10T20:23:44Z</dcterms:modified>
</cp:coreProperties>
</file>